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Radiation Hardened\ISL70444SEH\Supply Current Increase App Note\Design Sims\"/>
    </mc:Choice>
  </mc:AlternateContent>
  <workbookProtection workbookAlgorithmName="SHA-512" workbookHashValue="M+18Xp+kKsRZCutKMoMM9T89QpzPphCSSGO8bZKlFAz7l+y+WL+jshYfbeJ9KIvgEgvSWkEBZ7GhxWdKwAt9GQ==" workbookSaltValue="1HGnqr4LuKZzTu90PeluPA==" workbookSpinCount="100000" lockStructure="1"/>
  <bookViews>
    <workbookView xWindow="0" yWindow="0" windowWidth="25200" windowHeight="11985"/>
  </bookViews>
  <sheets>
    <sheet name="Buffer Config Inputs" sheetId="3" r:id="rId1"/>
    <sheet name="Comparator Config Inputs" sheetId="5" r:id="rId2"/>
    <sheet name="I32-I55" sheetId="1" state="hidden" r:id="rId3"/>
    <sheet name="Amp" sheetId="2" state="hidden" r:id="rId4"/>
    <sheet name="Comparator Data" sheetId="4" state="hidden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5" l="1"/>
  <c r="T1" i="4" s="1"/>
  <c r="W1" i="4"/>
  <c r="AU38" i="4"/>
  <c r="H20" i="5" s="1"/>
  <c r="AU37" i="4"/>
  <c r="AY37" i="4" s="1"/>
  <c r="AU36" i="4"/>
  <c r="AY36" i="4" s="1"/>
  <c r="K9" i="5"/>
  <c r="O9" i="5"/>
  <c r="AU30" i="4"/>
  <c r="H11" i="5" s="1"/>
  <c r="AU29" i="4"/>
  <c r="AU28" i="4"/>
  <c r="AY28" i="4" s="1"/>
  <c r="J20" i="5"/>
  <c r="I20" i="5"/>
  <c r="O19" i="5"/>
  <c r="K19" i="5"/>
  <c r="O18" i="5"/>
  <c r="K18" i="5"/>
  <c r="J11" i="5"/>
  <c r="I11" i="5"/>
  <c r="O10" i="5"/>
  <c r="K10" i="5"/>
  <c r="AS20" i="4" a="1"/>
  <c r="AS20" i="4" s="1"/>
  <c r="AS15" i="4" a="1"/>
  <c r="AS15" i="4" s="1"/>
  <c r="AS10" i="4" a="1"/>
  <c r="AS10" i="4" s="1"/>
  <c r="AS5" i="4" a="1"/>
  <c r="AS5" i="4" s="1"/>
  <c r="AB20" i="4" a="1"/>
  <c r="AB20" i="4" s="1"/>
  <c r="AB15" i="4" a="1"/>
  <c r="AB15" i="4" s="1"/>
  <c r="H10" i="5" l="1"/>
  <c r="AY29" i="4"/>
  <c r="AX10" i="4"/>
  <c r="AW28" i="4" s="1"/>
  <c r="J9" i="5" s="1"/>
  <c r="L9" i="5" s="1"/>
  <c r="AZ5" i="4"/>
  <c r="AW29" i="4" s="1"/>
  <c r="J10" i="5" s="1"/>
  <c r="AG20" i="4"/>
  <c r="AX28" i="4" s="1"/>
  <c r="AX20" i="4"/>
  <c r="AV28" i="4" s="1"/>
  <c r="I9" i="5" s="1"/>
  <c r="AI15" i="4"/>
  <c r="AX29" i="4" s="1"/>
  <c r="M10" i="5" s="1"/>
  <c r="AZ15" i="4"/>
  <c r="AV29" i="4" s="1"/>
  <c r="I10" i="5" s="1"/>
  <c r="H18" i="5"/>
  <c r="H19" i="5"/>
  <c r="H9" i="5"/>
  <c r="AV20" i="4"/>
  <c r="AU20" i="4"/>
  <c r="AT20" i="4"/>
  <c r="AW20" i="4"/>
  <c r="AV15" i="4"/>
  <c r="AY15" i="4"/>
  <c r="AU15" i="4"/>
  <c r="AX15" i="4"/>
  <c r="AT15" i="4"/>
  <c r="AW15" i="4"/>
  <c r="AV10" i="4"/>
  <c r="AU10" i="4"/>
  <c r="AT10" i="4"/>
  <c r="AW10" i="4"/>
  <c r="AV5" i="4"/>
  <c r="AY5" i="4"/>
  <c r="AU5" i="4"/>
  <c r="AX5" i="4"/>
  <c r="AT5" i="4"/>
  <c r="AW5" i="4"/>
  <c r="AC20" i="4"/>
  <c r="AE20" i="4"/>
  <c r="AD20" i="4"/>
  <c r="AF20" i="4"/>
  <c r="AE15" i="4"/>
  <c r="AH15" i="4"/>
  <c r="AD15" i="4"/>
  <c r="AG15" i="4"/>
  <c r="AC15" i="4"/>
  <c r="AF15" i="4"/>
  <c r="M9" i="5"/>
  <c r="A28" i="4" l="1"/>
  <c r="AD27" i="4"/>
  <c r="AD28" i="4"/>
  <c r="AD29" i="4"/>
  <c r="AD30" i="4"/>
  <c r="AD31" i="4"/>
  <c r="AD32" i="4"/>
  <c r="AD26" i="4"/>
  <c r="AI5" i="4"/>
  <c r="AB5" i="4" a="1"/>
  <c r="AB5" i="4" s="1"/>
  <c r="AH5" i="4" l="1"/>
  <c r="AG5" i="4"/>
  <c r="AC5" i="4"/>
  <c r="AE5" i="4"/>
  <c r="AD5" i="4"/>
  <c r="AF5" i="4"/>
  <c r="AB10" i="4" a="1"/>
  <c r="AB10" i="4" s="1"/>
  <c r="Y41" i="4"/>
  <c r="X41" i="4"/>
  <c r="W41" i="4"/>
  <c r="V41" i="4"/>
  <c r="U41" i="4"/>
  <c r="T41" i="4"/>
  <c r="AH42" i="4" s="1"/>
  <c r="S41" i="4"/>
  <c r="Y40" i="4"/>
  <c r="X40" i="4"/>
  <c r="W40" i="4"/>
  <c r="V40" i="4"/>
  <c r="U40" i="4"/>
  <c r="T40" i="4"/>
  <c r="AH41" i="4" s="1"/>
  <c r="S40" i="4"/>
  <c r="Y39" i="4"/>
  <c r="X39" i="4"/>
  <c r="W39" i="4"/>
  <c r="V39" i="4"/>
  <c r="U39" i="4"/>
  <c r="T39" i="4"/>
  <c r="AH40" i="4" s="1"/>
  <c r="S39" i="4"/>
  <c r="Y38" i="4"/>
  <c r="X38" i="4"/>
  <c r="W38" i="4"/>
  <c r="V38" i="4"/>
  <c r="U38" i="4"/>
  <c r="T38" i="4"/>
  <c r="AH39" i="4" s="1"/>
  <c r="S38" i="4"/>
  <c r="Y37" i="4"/>
  <c r="X37" i="4"/>
  <c r="W37" i="4"/>
  <c r="V37" i="4"/>
  <c r="U37" i="4"/>
  <c r="T37" i="4"/>
  <c r="AH38" i="4" s="1"/>
  <c r="S37" i="4"/>
  <c r="Y36" i="4"/>
  <c r="X36" i="4"/>
  <c r="W36" i="4"/>
  <c r="V36" i="4"/>
  <c r="U36" i="4"/>
  <c r="T36" i="4"/>
  <c r="AH37" i="4" s="1"/>
  <c r="S36" i="4"/>
  <c r="Y35" i="4"/>
  <c r="X35" i="4"/>
  <c r="W35" i="4"/>
  <c r="V35" i="4"/>
  <c r="U35" i="4"/>
  <c r="T35" i="4"/>
  <c r="AH36" i="4" s="1"/>
  <c r="S35" i="4"/>
  <c r="Y31" i="4"/>
  <c r="X31" i="4"/>
  <c r="W31" i="4"/>
  <c r="V31" i="4"/>
  <c r="U31" i="4"/>
  <c r="T31" i="4"/>
  <c r="S31" i="4"/>
  <c r="AH32" i="4" s="1"/>
  <c r="Y30" i="4"/>
  <c r="X30" i="4"/>
  <c r="W30" i="4"/>
  <c r="V30" i="4"/>
  <c r="U30" i="4"/>
  <c r="T30" i="4"/>
  <c r="S30" i="4"/>
  <c r="AH31" i="4" s="1"/>
  <c r="Y29" i="4"/>
  <c r="X29" i="4"/>
  <c r="W29" i="4"/>
  <c r="V29" i="4"/>
  <c r="U29" i="4"/>
  <c r="T29" i="4"/>
  <c r="S29" i="4"/>
  <c r="AH30" i="4" s="1"/>
  <c r="Y28" i="4"/>
  <c r="X28" i="4"/>
  <c r="W28" i="4"/>
  <c r="V28" i="4"/>
  <c r="U28" i="4"/>
  <c r="T28" i="4"/>
  <c r="S28" i="4"/>
  <c r="AH29" i="4" s="1"/>
  <c r="Y27" i="4"/>
  <c r="X27" i="4"/>
  <c r="W27" i="4"/>
  <c r="V27" i="4"/>
  <c r="U27" i="4"/>
  <c r="T27" i="4"/>
  <c r="S27" i="4"/>
  <c r="AH28" i="4" s="1"/>
  <c r="Y26" i="4"/>
  <c r="X26" i="4"/>
  <c r="W26" i="4"/>
  <c r="V26" i="4"/>
  <c r="U26" i="4"/>
  <c r="T26" i="4"/>
  <c r="S26" i="4"/>
  <c r="AH27" i="4" s="1"/>
  <c r="Y25" i="4"/>
  <c r="X25" i="4"/>
  <c r="W25" i="4"/>
  <c r="V25" i="4"/>
  <c r="U25" i="4"/>
  <c r="T25" i="4"/>
  <c r="S25" i="4"/>
  <c r="AH26" i="4" s="1"/>
  <c r="Y21" i="4"/>
  <c r="X21" i="4"/>
  <c r="W21" i="4"/>
  <c r="V21" i="4"/>
  <c r="U21" i="4"/>
  <c r="T21" i="4"/>
  <c r="S21" i="4"/>
  <c r="Y20" i="4"/>
  <c r="X20" i="4"/>
  <c r="W20" i="4"/>
  <c r="V20" i="4"/>
  <c r="U20" i="4"/>
  <c r="T20" i="4"/>
  <c r="S20" i="4"/>
  <c r="Y19" i="4"/>
  <c r="X19" i="4"/>
  <c r="W19" i="4"/>
  <c r="V19" i="4"/>
  <c r="U19" i="4"/>
  <c r="T19" i="4"/>
  <c r="S19" i="4"/>
  <c r="Y18" i="4"/>
  <c r="X18" i="4"/>
  <c r="W18" i="4"/>
  <c r="V18" i="4"/>
  <c r="U18" i="4"/>
  <c r="T18" i="4"/>
  <c r="S18" i="4"/>
  <c r="Y17" i="4"/>
  <c r="X17" i="4"/>
  <c r="W17" i="4"/>
  <c r="V17" i="4"/>
  <c r="U17" i="4"/>
  <c r="T17" i="4"/>
  <c r="S17" i="4"/>
  <c r="Y16" i="4"/>
  <c r="X16" i="4"/>
  <c r="W16" i="4"/>
  <c r="V16" i="4"/>
  <c r="U16" i="4"/>
  <c r="T16" i="4"/>
  <c r="S16" i="4"/>
  <c r="Y15" i="4"/>
  <c r="X15" i="4"/>
  <c r="W15" i="4"/>
  <c r="V15" i="4"/>
  <c r="U15" i="4"/>
  <c r="T15" i="4"/>
  <c r="S15" i="4"/>
  <c r="S6" i="4"/>
  <c r="T6" i="4"/>
  <c r="U6" i="4"/>
  <c r="V6" i="4"/>
  <c r="W6" i="4"/>
  <c r="X6" i="4"/>
  <c r="Y6" i="4"/>
  <c r="S7" i="4"/>
  <c r="T7" i="4"/>
  <c r="U7" i="4"/>
  <c r="V7" i="4"/>
  <c r="W7" i="4"/>
  <c r="X7" i="4"/>
  <c r="Y7" i="4"/>
  <c r="S8" i="4"/>
  <c r="T8" i="4"/>
  <c r="U8" i="4"/>
  <c r="V8" i="4"/>
  <c r="W8" i="4"/>
  <c r="X8" i="4"/>
  <c r="Y8" i="4"/>
  <c r="S9" i="4"/>
  <c r="T9" i="4"/>
  <c r="U9" i="4"/>
  <c r="V9" i="4"/>
  <c r="W9" i="4"/>
  <c r="X9" i="4"/>
  <c r="Y9" i="4"/>
  <c r="S10" i="4"/>
  <c r="T10" i="4"/>
  <c r="U10" i="4"/>
  <c r="V10" i="4"/>
  <c r="W10" i="4"/>
  <c r="X10" i="4"/>
  <c r="Y10" i="4"/>
  <c r="S11" i="4"/>
  <c r="T11" i="4"/>
  <c r="U11" i="4"/>
  <c r="V11" i="4"/>
  <c r="W11" i="4"/>
  <c r="X11" i="4"/>
  <c r="Y11" i="4"/>
  <c r="T5" i="4"/>
  <c r="U5" i="4"/>
  <c r="V5" i="4"/>
  <c r="W5" i="4"/>
  <c r="X5" i="4"/>
  <c r="Y5" i="4"/>
  <c r="S5" i="4"/>
  <c r="AK15" i="4" l="1" a="1"/>
  <c r="AO15" i="4" s="1"/>
  <c r="BB10" i="4" a="1"/>
  <c r="BE10" i="4" s="1"/>
  <c r="BB15" i="4" a="1"/>
  <c r="BD15" i="4" s="1"/>
  <c r="BB20" i="4" a="1"/>
  <c r="N10" i="5"/>
  <c r="AL15" i="4"/>
  <c r="AP15" i="4"/>
  <c r="AK15" i="4"/>
  <c r="AN15" i="4"/>
  <c r="BB5" i="4" a="1"/>
  <c r="BB10" i="4"/>
  <c r="BD10" i="4"/>
  <c r="AK20" i="4" a="1"/>
  <c r="AK5" i="4" a="1"/>
  <c r="AK10" i="4" a="1"/>
  <c r="AK10" i="4" s="1"/>
  <c r="AD10" i="4"/>
  <c r="AC10" i="4"/>
  <c r="AE10" i="4"/>
  <c r="AF10" i="4"/>
  <c r="O18" i="3"/>
  <c r="O19" i="3"/>
  <c r="AM15" i="4" l="1"/>
  <c r="BB15" i="4"/>
  <c r="BC10" i="4"/>
  <c r="BG15" i="4"/>
  <c r="BE15" i="4"/>
  <c r="BG10" i="4"/>
  <c r="BF15" i="4"/>
  <c r="BF10" i="4"/>
  <c r="BC15" i="4"/>
  <c r="BB5" i="4"/>
  <c r="BD5" i="4"/>
  <c r="BF5" i="4"/>
  <c r="BG5" i="4"/>
  <c r="BC5" i="4"/>
  <c r="BE5" i="4"/>
  <c r="AK20" i="4"/>
  <c r="AP20" i="4"/>
  <c r="AL20" i="4"/>
  <c r="AN20" i="4"/>
  <c r="AM20" i="4"/>
  <c r="AO20" i="4"/>
  <c r="AQ15" i="4"/>
  <c r="AX37" i="4" s="1"/>
  <c r="M19" i="5" s="1"/>
  <c r="BB20" i="4"/>
  <c r="BC20" i="4"/>
  <c r="BE20" i="4"/>
  <c r="BD20" i="4"/>
  <c r="BG20" i="4"/>
  <c r="BF20" i="4"/>
  <c r="AK5" i="4"/>
  <c r="AN5" i="4"/>
  <c r="AO5" i="4"/>
  <c r="AP5" i="4"/>
  <c r="AM5" i="4"/>
  <c r="AL5" i="4"/>
  <c r="AD38" i="4"/>
  <c r="AE38" i="4" s="1"/>
  <c r="AM10" i="4"/>
  <c r="AN10" i="4"/>
  <c r="AP10" i="4"/>
  <c r="AO10" i="4"/>
  <c r="AL10" i="4"/>
  <c r="AD40" i="4"/>
  <c r="AE40" i="4" s="1"/>
  <c r="AG10" i="4"/>
  <c r="N9" i="5" s="1"/>
  <c r="P9" i="5" s="1"/>
  <c r="AD37" i="4"/>
  <c r="AE37" i="4" s="1"/>
  <c r="AD41" i="4"/>
  <c r="AE41" i="4" s="1"/>
  <c r="AD36" i="4"/>
  <c r="AE36" i="4" s="1"/>
  <c r="AD42" i="4"/>
  <c r="AE42" i="4" s="1"/>
  <c r="AE30" i="4"/>
  <c r="AE26" i="4"/>
  <c r="AE27" i="4"/>
  <c r="AE31" i="4"/>
  <c r="AE28" i="4"/>
  <c r="AE32" i="4"/>
  <c r="AE29" i="4"/>
  <c r="AD39" i="4"/>
  <c r="AE39" i="4" s="1"/>
  <c r="K20" i="3"/>
  <c r="K19" i="3"/>
  <c r="K18" i="3"/>
  <c r="K11" i="3"/>
  <c r="K10" i="3"/>
  <c r="K9" i="3"/>
  <c r="O10" i="3"/>
  <c r="O9" i="3"/>
  <c r="N20" i="3"/>
  <c r="M20" i="3"/>
  <c r="I21" i="3"/>
  <c r="J21" i="3"/>
  <c r="N11" i="3"/>
  <c r="M11" i="3"/>
  <c r="I12" i="3"/>
  <c r="J12" i="3"/>
  <c r="T18" i="1"/>
  <c r="T17" i="1"/>
  <c r="T16" i="1"/>
  <c r="T15" i="1"/>
  <c r="T9" i="1"/>
  <c r="Q10" i="2" a="1"/>
  <c r="Q6" i="2" a="1"/>
  <c r="L10" i="2" a="1"/>
  <c r="L10" i="2" s="1"/>
  <c r="L6" i="2" a="1"/>
  <c r="L6" i="2" s="1"/>
  <c r="D1" i="2"/>
  <c r="H46" i="2" s="1"/>
  <c r="L46" i="2" a="1"/>
  <c r="L46" i="2" s="1"/>
  <c r="L42" i="2" a="1"/>
  <c r="L42" i="2" s="1"/>
  <c r="L37" i="2" a="1"/>
  <c r="L37" i="2" s="1"/>
  <c r="L33" i="2" a="1"/>
  <c r="L33" i="2" s="1"/>
  <c r="AD33" i="1"/>
  <c r="AE33" i="1"/>
  <c r="AB33" i="1" a="1"/>
  <c r="AB33" i="1" s="1"/>
  <c r="AG33" i="1"/>
  <c r="AD37" i="1"/>
  <c r="AE37" i="1"/>
  <c r="AF37" i="1"/>
  <c r="AC37" i="1" a="1"/>
  <c r="AC37" i="1" s="1"/>
  <c r="AG37" i="1"/>
  <c r="AB43" i="1" a="1"/>
  <c r="AC43" i="1" s="1"/>
  <c r="AC47" i="1" a="1"/>
  <c r="AE47" i="1" s="1"/>
  <c r="T7" i="1"/>
  <c r="T8" i="1"/>
  <c r="T6" i="1"/>
  <c r="D1" i="1"/>
  <c r="E34" i="1" s="1"/>
  <c r="BH10" i="4" l="1"/>
  <c r="AW36" i="4" s="1"/>
  <c r="J18" i="5" s="1"/>
  <c r="BH15" i="4"/>
  <c r="AV37" i="4" s="1"/>
  <c r="I19" i="5" s="1"/>
  <c r="BH20" i="4"/>
  <c r="AV36" i="4" s="1"/>
  <c r="I18" i="5" s="1"/>
  <c r="AQ20" i="4"/>
  <c r="AX36" i="4" s="1"/>
  <c r="M18" i="5" s="1"/>
  <c r="BH5" i="4"/>
  <c r="AW37" i="4" s="1"/>
  <c r="J19" i="5" s="1"/>
  <c r="H10" i="3"/>
  <c r="H20" i="3"/>
  <c r="H12" i="3"/>
  <c r="H21" i="3"/>
  <c r="H9" i="3"/>
  <c r="H18" i="3"/>
  <c r="H11" i="3"/>
  <c r="H19" i="3"/>
  <c r="AI38" i="4"/>
  <c r="AJ38" i="4" s="1"/>
  <c r="AI41" i="4"/>
  <c r="AJ41" i="4" s="1"/>
  <c r="AI42" i="4"/>
  <c r="AJ42" i="4" s="1"/>
  <c r="AI40" i="4"/>
  <c r="AJ40" i="4" s="1"/>
  <c r="AQ10" i="4"/>
  <c r="N18" i="5" s="1"/>
  <c r="AI39" i="4"/>
  <c r="AJ39" i="4" s="1"/>
  <c r="AI37" i="4"/>
  <c r="AJ37" i="4" s="1"/>
  <c r="AI36" i="4"/>
  <c r="AJ36" i="4" s="1"/>
  <c r="AI30" i="4"/>
  <c r="AJ30" i="4" s="1"/>
  <c r="AI29" i="4"/>
  <c r="AJ29" i="4" s="1"/>
  <c r="AI27" i="4"/>
  <c r="AJ27" i="4" s="1"/>
  <c r="AI31" i="4"/>
  <c r="AJ31" i="4" s="1"/>
  <c r="AI26" i="4"/>
  <c r="AJ26" i="4" s="1"/>
  <c r="AQ5" i="4"/>
  <c r="N19" i="5" s="1"/>
  <c r="AI28" i="4"/>
  <c r="AJ28" i="4" s="1"/>
  <c r="AI32" i="4"/>
  <c r="AJ32" i="4" s="1"/>
  <c r="H6" i="2"/>
  <c r="H10" i="2"/>
  <c r="E8" i="2"/>
  <c r="H7" i="2"/>
  <c r="H11" i="2"/>
  <c r="E9" i="2"/>
  <c r="H8" i="2"/>
  <c r="E6" i="2"/>
  <c r="E10" i="2"/>
  <c r="H9" i="2"/>
  <c r="E7" i="2"/>
  <c r="E11" i="2"/>
  <c r="E47" i="2"/>
  <c r="E38" i="2"/>
  <c r="H36" i="2"/>
  <c r="O10" i="2"/>
  <c r="N10" i="2"/>
  <c r="M10" i="2"/>
  <c r="P10" i="2"/>
  <c r="N6" i="2"/>
  <c r="O6" i="2"/>
  <c r="M6" i="2"/>
  <c r="P6" i="2"/>
  <c r="E42" i="2"/>
  <c r="E34" i="2"/>
  <c r="E43" i="2"/>
  <c r="H45" i="2"/>
  <c r="E35" i="2"/>
  <c r="H44" i="2"/>
  <c r="E33" i="2"/>
  <c r="H35" i="2"/>
  <c r="E46" i="2"/>
  <c r="E36" i="2"/>
  <c r="H34" i="2"/>
  <c r="H38" i="2"/>
  <c r="E45" i="2"/>
  <c r="H43" i="2"/>
  <c r="H47" i="2"/>
  <c r="E37" i="2"/>
  <c r="H33" i="2"/>
  <c r="H37" i="2"/>
  <c r="E44" i="2"/>
  <c r="H42" i="2"/>
  <c r="O46" i="2"/>
  <c r="N46" i="2"/>
  <c r="M46" i="2"/>
  <c r="P46" i="2"/>
  <c r="O42" i="2"/>
  <c r="N42" i="2"/>
  <c r="M42" i="2"/>
  <c r="P42" i="2"/>
  <c r="O37" i="2"/>
  <c r="N37" i="2"/>
  <c r="M37" i="2"/>
  <c r="P37" i="2"/>
  <c r="O33" i="2"/>
  <c r="N33" i="2"/>
  <c r="M33" i="2"/>
  <c r="P33" i="2"/>
  <c r="AG47" i="1"/>
  <c r="AD47" i="1"/>
  <c r="AC47" i="1"/>
  <c r="AF43" i="1"/>
  <c r="AB43" i="1"/>
  <c r="AF47" i="1"/>
  <c r="AE43" i="1"/>
  <c r="AG43" i="1"/>
  <c r="AD43" i="1"/>
  <c r="AC33" i="1"/>
  <c r="AF33" i="1"/>
  <c r="P36" i="1"/>
  <c r="P44" i="1"/>
  <c r="P16" i="1"/>
  <c r="P6" i="1"/>
  <c r="H6" i="1"/>
  <c r="H11" i="1"/>
  <c r="H19" i="1"/>
  <c r="H28" i="1"/>
  <c r="H47" i="1"/>
  <c r="P46" i="1"/>
  <c r="P17" i="1"/>
  <c r="H43" i="1"/>
  <c r="P33" i="1"/>
  <c r="P42" i="1"/>
  <c r="P47" i="1"/>
  <c r="P28" i="1"/>
  <c r="P19" i="1"/>
  <c r="P9" i="1"/>
  <c r="H8" i="1"/>
  <c r="H17" i="1"/>
  <c r="H25" i="1"/>
  <c r="H46" i="1"/>
  <c r="P26" i="1"/>
  <c r="H42" i="1"/>
  <c r="P37" i="1"/>
  <c r="P27" i="1"/>
  <c r="P8" i="1"/>
  <c r="H7" i="1"/>
  <c r="H15" i="1"/>
  <c r="H24" i="1"/>
  <c r="H29" i="1"/>
  <c r="H44" i="1"/>
  <c r="P35" i="1"/>
  <c r="P43" i="1"/>
  <c r="P24" i="1"/>
  <c r="P15" i="1"/>
  <c r="P20" i="1"/>
  <c r="P10" i="1"/>
  <c r="H10" i="1"/>
  <c r="H18" i="1"/>
  <c r="H26" i="1"/>
  <c r="H45" i="1"/>
  <c r="P34" i="1"/>
  <c r="P38" i="1"/>
  <c r="P45" i="1"/>
  <c r="P25" i="1"/>
  <c r="P29" i="1"/>
  <c r="P18" i="1"/>
  <c r="P7" i="1"/>
  <c r="P11" i="1"/>
  <c r="H9" i="1"/>
  <c r="H16" i="1"/>
  <c r="H20" i="1"/>
  <c r="H27" i="1"/>
  <c r="H33" i="1"/>
  <c r="H37" i="1"/>
  <c r="H34" i="1"/>
  <c r="H35" i="1"/>
  <c r="H36" i="1"/>
  <c r="H38" i="1"/>
  <c r="E42" i="1"/>
  <c r="M35" i="1"/>
  <c r="M42" i="1"/>
  <c r="E44" i="1"/>
  <c r="M33" i="1"/>
  <c r="M37" i="1"/>
  <c r="M44" i="1"/>
  <c r="E45" i="1"/>
  <c r="M34" i="1"/>
  <c r="M38" i="1"/>
  <c r="M45" i="1"/>
  <c r="E46" i="1"/>
  <c r="M46" i="1"/>
  <c r="E43" i="1"/>
  <c r="E47" i="1"/>
  <c r="M36" i="1"/>
  <c r="M43" i="1"/>
  <c r="M47" i="1"/>
  <c r="E37" i="1"/>
  <c r="E36" i="1"/>
  <c r="E33" i="1"/>
  <c r="E35" i="1"/>
  <c r="E38" i="1"/>
  <c r="S37" i="2" l="1" a="1"/>
  <c r="S37" i="2" s="1"/>
  <c r="S6" i="2" a="1"/>
  <c r="S10" i="2" a="1"/>
  <c r="S42" i="2" a="1"/>
  <c r="V37" i="2"/>
  <c r="S46" i="2" a="1"/>
  <c r="S33" i="2" a="1"/>
  <c r="T37" i="2"/>
  <c r="U37" i="2"/>
  <c r="T47" i="1" a="1"/>
  <c r="T47" i="1" s="1"/>
  <c r="S33" i="1" a="1"/>
  <c r="S33" i="1" s="1"/>
  <c r="T37" i="1" a="1"/>
  <c r="S43" i="1" a="1"/>
  <c r="C49" i="1"/>
  <c r="C50" i="1"/>
  <c r="C51" i="1"/>
  <c r="C52" i="1"/>
  <c r="C53" i="1"/>
  <c r="C48" i="1"/>
  <c r="K49" i="1"/>
  <c r="K50" i="1"/>
  <c r="K51" i="1"/>
  <c r="K52" i="1"/>
  <c r="K53" i="1"/>
  <c r="K48" i="1"/>
  <c r="W37" i="2" l="1"/>
  <c r="S10" i="2"/>
  <c r="U10" i="2"/>
  <c r="T10" i="2"/>
  <c r="W10" i="2"/>
  <c r="V10" i="2"/>
  <c r="S6" i="2"/>
  <c r="U6" i="2"/>
  <c r="T6" i="2"/>
  <c r="W6" i="2"/>
  <c r="V6" i="2"/>
  <c r="S33" i="2"/>
  <c r="U33" i="2"/>
  <c r="T33" i="2"/>
  <c r="W33" i="2"/>
  <c r="V33" i="2"/>
  <c r="S46" i="2"/>
  <c r="U46" i="2"/>
  <c r="T46" i="2"/>
  <c r="W46" i="2"/>
  <c r="V46" i="2"/>
  <c r="X47" i="1"/>
  <c r="S42" i="2"/>
  <c r="U42" i="2"/>
  <c r="T42" i="2"/>
  <c r="W42" i="2"/>
  <c r="V42" i="2"/>
  <c r="V47" i="1"/>
  <c r="T33" i="1"/>
  <c r="W47" i="1"/>
  <c r="U47" i="1"/>
  <c r="W33" i="1"/>
  <c r="U33" i="1"/>
  <c r="V33" i="1"/>
  <c r="X33" i="1"/>
  <c r="T37" i="1"/>
  <c r="U37" i="1"/>
  <c r="X37" i="1"/>
  <c r="W37" i="1"/>
  <c r="V37" i="1"/>
  <c r="S43" i="1"/>
  <c r="U43" i="1"/>
  <c r="X43" i="1"/>
  <c r="T43" i="1"/>
  <c r="V43" i="1"/>
  <c r="W43" i="1"/>
  <c r="C9" i="3"/>
  <c r="D2" i="2" l="1"/>
  <c r="X46" i="2" s="1"/>
  <c r="V15" i="1" s="1"/>
  <c r="D2" i="1"/>
  <c r="Y37" i="1" s="1"/>
  <c r="X16" i="1" s="1"/>
  <c r="E19" i="2"/>
  <c r="H29" i="2"/>
  <c r="E29" i="2"/>
  <c r="H28" i="2"/>
  <c r="E28" i="2"/>
  <c r="H27" i="2"/>
  <c r="E27" i="2"/>
  <c r="H26" i="2"/>
  <c r="E26" i="2"/>
  <c r="H25" i="2"/>
  <c r="E25" i="2"/>
  <c r="H24" i="2"/>
  <c r="E24" i="2"/>
  <c r="H20" i="2"/>
  <c r="E20" i="2"/>
  <c r="H19" i="2"/>
  <c r="H18" i="2"/>
  <c r="E18" i="2"/>
  <c r="H17" i="2"/>
  <c r="E17" i="2"/>
  <c r="H16" i="2"/>
  <c r="E16" i="2"/>
  <c r="H15" i="2"/>
  <c r="E15" i="2"/>
  <c r="M29" i="1"/>
  <c r="M28" i="1"/>
  <c r="M27" i="1"/>
  <c r="M26" i="1"/>
  <c r="M25" i="1"/>
  <c r="M24" i="1"/>
  <c r="M20" i="1"/>
  <c r="M19" i="1"/>
  <c r="M18" i="1"/>
  <c r="M17" i="1"/>
  <c r="M16" i="1"/>
  <c r="M15" i="1"/>
  <c r="M11" i="1"/>
  <c r="M10" i="1"/>
  <c r="M9" i="1"/>
  <c r="M8" i="1"/>
  <c r="M7" i="1"/>
  <c r="M6" i="1"/>
  <c r="E29" i="1"/>
  <c r="E28" i="1"/>
  <c r="E27" i="1"/>
  <c r="E26" i="1"/>
  <c r="E25" i="1"/>
  <c r="E24" i="1"/>
  <c r="E20" i="1"/>
  <c r="E19" i="1"/>
  <c r="E18" i="1"/>
  <c r="E17" i="1"/>
  <c r="E16" i="1"/>
  <c r="E15" i="1"/>
  <c r="E7" i="1"/>
  <c r="E8" i="1"/>
  <c r="E9" i="1"/>
  <c r="E10" i="1"/>
  <c r="E11" i="1"/>
  <c r="E6" i="1"/>
  <c r="N19" i="3" l="1"/>
  <c r="P19" i="3" s="1"/>
  <c r="P19" i="5"/>
  <c r="J18" i="3"/>
  <c r="L18" i="3" s="1"/>
  <c r="X33" i="2"/>
  <c r="U16" i="1" s="1"/>
  <c r="Y33" i="1"/>
  <c r="W16" i="1" s="1"/>
  <c r="AH47" i="1"/>
  <c r="X6" i="1" s="1"/>
  <c r="AH37" i="1"/>
  <c r="X7" i="1" s="1"/>
  <c r="Y47" i="1"/>
  <c r="X15" i="1" s="1"/>
  <c r="Y43" i="1"/>
  <c r="W15" i="1" s="1"/>
  <c r="X6" i="2"/>
  <c r="U17" i="1" s="1"/>
  <c r="X10" i="2"/>
  <c r="V17" i="1" s="1"/>
  <c r="X42" i="2"/>
  <c r="U15" i="1" s="1"/>
  <c r="AH33" i="1"/>
  <c r="W7" i="1" s="1"/>
  <c r="AH43" i="1"/>
  <c r="W6" i="1" s="1"/>
  <c r="Q33" i="2"/>
  <c r="U7" i="1" s="1"/>
  <c r="Q46" i="2"/>
  <c r="V6" i="1" s="1"/>
  <c r="Q42" i="2"/>
  <c r="U6" i="1" s="1"/>
  <c r="Q37" i="2"/>
  <c r="V7" i="1" s="1"/>
  <c r="Q6" i="2"/>
  <c r="U8" i="1" s="1"/>
  <c r="Q10" i="2"/>
  <c r="V8" i="1" s="1"/>
  <c r="X37" i="2"/>
  <c r="V16" i="1" s="1"/>
  <c r="J10" i="3" l="1"/>
  <c r="L10" i="3" s="1"/>
  <c r="L10" i="5"/>
  <c r="M9" i="3"/>
  <c r="I20" i="3"/>
  <c r="N9" i="3"/>
  <c r="P9" i="3" s="1"/>
  <c r="L18" i="5"/>
  <c r="J19" i="3"/>
  <c r="L19" i="3" s="1"/>
  <c r="L19" i="5"/>
  <c r="I9" i="3"/>
  <c r="M10" i="3"/>
  <c r="M18" i="3"/>
  <c r="M19" i="3"/>
  <c r="J9" i="3"/>
  <c r="L9" i="3" s="1"/>
  <c r="I18" i="3"/>
  <c r="N18" i="3"/>
  <c r="P18" i="3" s="1"/>
  <c r="P18" i="5"/>
  <c r="I19" i="3"/>
  <c r="J11" i="3"/>
  <c r="L11" i="3" s="1"/>
  <c r="I11" i="3"/>
  <c r="I10" i="3"/>
  <c r="J20" i="3"/>
  <c r="L20" i="3" s="1"/>
  <c r="N10" i="3"/>
  <c r="P10" i="3" s="1"/>
  <c r="P10" i="5"/>
  <c r="C30" i="3" l="1"/>
  <c r="C29" i="3"/>
  <c r="C26" i="3"/>
  <c r="C25" i="3"/>
  <c r="C29" i="5"/>
  <c r="C25" i="5"/>
  <c r="C26" i="5"/>
  <c r="C30" i="5"/>
</calcChain>
</file>

<file path=xl/sharedStrings.xml><?xml version="1.0" encoding="utf-8"?>
<sst xmlns="http://schemas.openxmlformats.org/spreadsheetml/2006/main" count="752" uniqueCount="139">
  <si>
    <t>V</t>
  </si>
  <si>
    <t>I (mean)</t>
  </si>
  <si>
    <t>I (st.dev)</t>
  </si>
  <si>
    <t>W (mean)</t>
  </si>
  <si>
    <t>W (st.dev)</t>
  </si>
  <si>
    <t>I (+6 Sigma)</t>
  </si>
  <si>
    <t>W (+6 Sigma)</t>
  </si>
  <si>
    <t>I32 (Scenario 1)</t>
  </si>
  <si>
    <t>I32 (Scenario 2L)</t>
  </si>
  <si>
    <t>I32 (Scenario 2H)</t>
  </si>
  <si>
    <t>I32 (Scenario 3L)</t>
  </si>
  <si>
    <t>I32 (Scenario 3H)</t>
  </si>
  <si>
    <t>I55 (Scenario 1)</t>
  </si>
  <si>
    <t>I55 (Scenario 2L)</t>
  </si>
  <si>
    <t>I55 (Scenario 2H)</t>
  </si>
  <si>
    <t>I55 (Scenario 3L)</t>
  </si>
  <si>
    <t>I55 (Scenario 3H)</t>
  </si>
  <si>
    <t>Amp (Scenario 1)</t>
  </si>
  <si>
    <t>Amp (Scenario 2L)</t>
  </si>
  <si>
    <t>Amp (Scenario 2H)</t>
  </si>
  <si>
    <t>Amp (Scenario 3L)</t>
  </si>
  <si>
    <t>Amp (Scenario 3H)</t>
  </si>
  <si>
    <t>V+</t>
  </si>
  <si>
    <t>V-</t>
  </si>
  <si>
    <t>Vs</t>
  </si>
  <si>
    <t>Input A</t>
  </si>
  <si>
    <t>Input B</t>
  </si>
  <si>
    <t>Input C</t>
  </si>
  <si>
    <t>Input D</t>
  </si>
  <si>
    <t>x5</t>
  </si>
  <si>
    <t>x4</t>
  </si>
  <si>
    <t>x3</t>
  </si>
  <si>
    <t>x2</t>
  </si>
  <si>
    <t>x</t>
  </si>
  <si>
    <t>c</t>
  </si>
  <si>
    <t>Sigma</t>
  </si>
  <si>
    <t>I32 (3L) - Current</t>
  </si>
  <si>
    <t>I32 (3L) - Power</t>
  </si>
  <si>
    <t>I55 (3H) - Power</t>
  </si>
  <si>
    <t>List of Options</t>
  </si>
  <si>
    <t>Active</t>
  </si>
  <si>
    <t>°C/W</t>
  </si>
  <si>
    <t>Unused Op Amp Regression (mean)</t>
  </si>
  <si>
    <t>Supply</t>
  </si>
  <si>
    <t>Calculated</t>
  </si>
  <si>
    <t>Count</t>
  </si>
  <si>
    <t>ISUPPLY (A)</t>
  </si>
  <si>
    <t>Power (W)</t>
  </si>
  <si>
    <t>Scenario 3L</t>
  </si>
  <si>
    <t>Scenario 3H</t>
  </si>
  <si>
    <t>Amp (Scenario 3L) Current - Mean</t>
  </si>
  <si>
    <t>Amp (Scenario 3L) Power - Mean</t>
  </si>
  <si>
    <t>Amp (Scenario 3H) Current - Mean</t>
  </si>
  <si>
    <t>Amp (Scenario 3H) Power - Mean</t>
  </si>
  <si>
    <t>Amp (Scenario 1) Current - Mean</t>
  </si>
  <si>
    <t>Amp (Scenario 1) Power - Mean</t>
  </si>
  <si>
    <t>Amp (Scenario 1) Current - WC</t>
  </si>
  <si>
    <t>Amp (Scenario 1) Power - WC</t>
  </si>
  <si>
    <t>Amp (Scenario 3L) Current - WC</t>
  </si>
  <si>
    <t>Amp (Scenario 3L) Power - WC</t>
  </si>
  <si>
    <t>Amp (Scenario 3H) Current - WC</t>
  </si>
  <si>
    <t>Amp (Scenario 3H) Power - WC</t>
  </si>
  <si>
    <t>I55 (3H) - Current (WC)</t>
  </si>
  <si>
    <t>Unused Op Amp Regression (WC)</t>
  </si>
  <si>
    <t>I55 (3H) - Current (mean)</t>
  </si>
  <si>
    <t>Value</t>
  </si>
  <si>
    <t>Unit</t>
  </si>
  <si>
    <t>Parameter</t>
  </si>
  <si>
    <t>-</t>
  </si>
  <si>
    <t>Calculated Values (Amp)</t>
  </si>
  <si>
    <t>Calculated Values (Hot Spot)</t>
  </si>
  <si>
    <t>Mean</t>
  </si>
  <si>
    <t>WC</t>
  </si>
  <si>
    <r>
      <t>θ</t>
    </r>
    <r>
      <rPr>
        <b/>
        <vertAlign val="subscript"/>
        <sz val="11"/>
        <color theme="1"/>
        <rFont val="Calibri"/>
        <family val="2"/>
        <scheme val="minor"/>
      </rPr>
      <t>JC</t>
    </r>
    <r>
      <rPr>
        <b/>
        <sz val="11"/>
        <color theme="1"/>
        <rFont val="Calibri"/>
        <family val="2"/>
        <scheme val="minor"/>
      </rPr>
      <t xml:space="preserve"> (°C/W)</t>
    </r>
  </si>
  <si>
    <t>Exclude</t>
  </si>
  <si>
    <t>Inputs</t>
  </si>
  <si>
    <t>Excluded</t>
  </si>
  <si>
    <r>
      <t>I</t>
    </r>
    <r>
      <rPr>
        <b/>
        <vertAlign val="subscript"/>
        <sz val="11"/>
        <color theme="1"/>
        <rFont val="Calibri"/>
        <family val="2"/>
        <scheme val="minor"/>
      </rPr>
      <t>SUPPLY</t>
    </r>
    <r>
      <rPr>
        <b/>
        <sz val="11"/>
        <color theme="1"/>
        <rFont val="Calibri"/>
        <family val="2"/>
        <scheme val="minor"/>
      </rPr>
      <t xml:space="preserve"> (A)</t>
    </r>
  </si>
  <si>
    <r>
      <t>t</t>
    </r>
    <r>
      <rPr>
        <b/>
        <vertAlign val="subscript"/>
        <sz val="11"/>
        <color theme="1"/>
        <rFont val="Calibri"/>
        <family val="2"/>
        <scheme val="minor"/>
      </rPr>
      <t>RISE</t>
    </r>
    <r>
      <rPr>
        <b/>
        <sz val="11"/>
        <color theme="1"/>
        <rFont val="Calibri"/>
        <family val="2"/>
        <scheme val="minor"/>
      </rPr>
      <t xml:space="preserve"> (°C)</t>
    </r>
  </si>
  <si>
    <t xml:space="preserve">±σ </t>
  </si>
  <si>
    <t>Worst Case Sigma</t>
  </si>
  <si>
    <t>°C</t>
  </si>
  <si>
    <r>
      <t>T</t>
    </r>
    <r>
      <rPr>
        <b/>
        <vertAlign val="subscript"/>
        <sz val="11"/>
        <color theme="1"/>
        <rFont val="Calibri"/>
        <family val="2"/>
        <scheme val="minor"/>
      </rPr>
      <t>J</t>
    </r>
  </si>
  <si>
    <r>
      <t>θ</t>
    </r>
    <r>
      <rPr>
        <b/>
        <vertAlign val="subscript"/>
        <sz val="11"/>
        <color theme="1"/>
        <rFont val="Calibri"/>
        <family val="2"/>
        <scheme val="minor"/>
      </rPr>
      <t>JC</t>
    </r>
    <r>
      <rPr>
        <b/>
        <sz val="11"/>
        <color theme="1"/>
        <rFont val="Calibri"/>
        <family val="2"/>
        <scheme val="minor"/>
      </rPr>
      <t xml:space="preserve"> (amp)</t>
    </r>
  </si>
  <si>
    <r>
      <t>θ</t>
    </r>
    <r>
      <rPr>
        <b/>
        <vertAlign val="subscript"/>
        <sz val="11"/>
        <color theme="1"/>
        <rFont val="Calibri"/>
        <family val="2"/>
        <scheme val="minor"/>
      </rPr>
      <t>JC</t>
    </r>
    <r>
      <rPr>
        <b/>
        <sz val="11"/>
        <color theme="1"/>
        <rFont val="Calibri"/>
        <family val="2"/>
        <scheme val="minor"/>
      </rPr>
      <t xml:space="preserve"> (I55)</t>
    </r>
  </si>
  <si>
    <r>
      <t>θ</t>
    </r>
    <r>
      <rPr>
        <b/>
        <vertAlign val="subscript"/>
        <sz val="11"/>
        <color theme="1"/>
        <rFont val="Calibri"/>
        <family val="2"/>
        <scheme val="minor"/>
      </rPr>
      <t>JC</t>
    </r>
    <r>
      <rPr>
        <b/>
        <sz val="11"/>
        <color theme="1"/>
        <rFont val="Calibri"/>
        <family val="2"/>
        <scheme val="minor"/>
      </rPr>
      <t xml:space="preserve"> (I32)</t>
    </r>
  </si>
  <si>
    <t>Max Temperature</t>
  </si>
  <si>
    <r>
      <t>T</t>
    </r>
    <r>
      <rPr>
        <b/>
        <vertAlign val="subscript"/>
        <sz val="11"/>
        <color theme="1"/>
        <rFont val="Calibri"/>
        <family val="2"/>
        <scheme val="minor"/>
      </rPr>
      <t>C (mean)</t>
    </r>
  </si>
  <si>
    <r>
      <t>T</t>
    </r>
    <r>
      <rPr>
        <b/>
        <vertAlign val="subscript"/>
        <sz val="11"/>
        <color theme="1"/>
        <rFont val="Calibri"/>
        <family val="2"/>
        <scheme val="minor"/>
      </rPr>
      <t>C (WC)</t>
    </r>
  </si>
  <si>
    <t>Inputs are in Yellow</t>
  </si>
  <si>
    <r>
      <t>θ</t>
    </r>
    <r>
      <rPr>
        <b/>
        <vertAlign val="subscript"/>
        <sz val="11"/>
        <color theme="1"/>
        <rFont val="Calibri"/>
        <family val="2"/>
        <scheme val="minor"/>
      </rPr>
      <t>JC</t>
    </r>
    <r>
      <rPr>
        <b/>
        <sz val="11"/>
        <color theme="1"/>
        <rFont val="Calibri"/>
        <family val="2"/>
        <scheme val="minor"/>
      </rPr>
      <t xml:space="preserve"> Options</t>
    </r>
  </si>
  <si>
    <t>Total Power Dissipation</t>
  </si>
  <si>
    <t>W</t>
  </si>
  <si>
    <t>I55 and I32 have been identified as the 2 devices that have the highest power dissipation, they will determine the max junction temperature.</t>
  </si>
  <si>
    <t>Current Mean Negative Input</t>
  </si>
  <si>
    <t>Current Sigma Negative Input</t>
  </si>
  <si>
    <t>I32</t>
  </si>
  <si>
    <t>I55</t>
  </si>
  <si>
    <t>I199</t>
  </si>
  <si>
    <t>I200</t>
  </si>
  <si>
    <t>I151</t>
  </si>
  <si>
    <t>I150</t>
  </si>
  <si>
    <t>Amp</t>
  </si>
  <si>
    <t>Current Mean Positive Input</t>
  </si>
  <si>
    <t>Current Sigma Positive Input</t>
  </si>
  <si>
    <t>Power Mean Negative Input</t>
  </si>
  <si>
    <t>Power Sigma Negative Input</t>
  </si>
  <si>
    <t>Power Mean Positive Input</t>
  </si>
  <si>
    <t>Power Sigma Positive Input</t>
  </si>
  <si>
    <t>+σ Current Negative Input</t>
  </si>
  <si>
    <t>+σ Current Positive Input</t>
  </si>
  <si>
    <t>+σ Power Negative Input</t>
  </si>
  <si>
    <t>+σ Power Positive Input</t>
  </si>
  <si>
    <t>I32 Power Mean Negative Input</t>
  </si>
  <si>
    <t>I32 Power WC Negative Input</t>
  </si>
  <si>
    <t>I55 Power WC Positive Input</t>
  </si>
  <si>
    <t>I55 Power Mean Positive Input</t>
  </si>
  <si>
    <t>Power Mean Neg Input</t>
  </si>
  <si>
    <t>Power Mean Pos Input</t>
  </si>
  <si>
    <t>Power WC Neg Input</t>
  </si>
  <si>
    <t>Power WC Pos Input</t>
  </si>
  <si>
    <t>Calc</t>
  </si>
  <si>
    <t>Error</t>
  </si>
  <si>
    <t>x6</t>
  </si>
  <si>
    <t>I32 Current Mean Negative Input</t>
  </si>
  <si>
    <t>I55 Current Mean Positive Input</t>
  </si>
  <si>
    <t>I32 Current WC Negative Input</t>
  </si>
  <si>
    <t>I55 Current WC Positive Input</t>
  </si>
  <si>
    <t>Amp Power WC Negative Input</t>
  </si>
  <si>
    <t>Amp Power WC Positive Input</t>
  </si>
  <si>
    <t>Amp Power Mean Negative Input</t>
  </si>
  <si>
    <t>Amp Power Mean Positive Input</t>
  </si>
  <si>
    <t>Amp Current Mean Negative Input</t>
  </si>
  <si>
    <t>Amp Current Mean Positive Input</t>
  </si>
  <si>
    <t>Amp Current WC Negative Input</t>
  </si>
  <si>
    <t>Amp Current WC Positive Input</t>
  </si>
  <si>
    <t>ISL70x44SEH Case Temperature Calculator (Buffer Configuration)</t>
  </si>
  <si>
    <t>ISL70x44SEH Case Temperature Calculator (Comparator Configuration)</t>
  </si>
  <si>
    <t>Worst 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</si>
</sst>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E+00"/>
    <numFmt numFmtId="165" formatCode="0.0000"/>
    <numFmt numFmtId="166" formatCode="0.000000"/>
    <numFmt numFmtId="167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10" fontId="0" fillId="0" borderId="0" xfId="0" applyNumberFormat="1"/>
    <xf numFmtId="10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/>
    <xf numFmtId="0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7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11" fontId="0" fillId="0" borderId="0" xfId="0" applyNumberFormat="1"/>
    <xf numFmtId="0" fontId="0" fillId="2" borderId="1" xfId="0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I32 3L I (+6 Sigma)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'I32-I55'!$E$32</c:f>
              <c:strCache>
                <c:ptCount val="1"/>
                <c:pt idx="0">
                  <c:v>I (+6 Sigma)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5"/>
            <c:dispRSqr val="1"/>
            <c:dispEq val="1"/>
            <c:trendlineLbl>
              <c:layout>
                <c:manualLayout>
                  <c:x val="7.9089342336807172E-2"/>
                  <c:y val="0.40963263342657202"/>
                </c:manualLayout>
              </c:layout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1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'I32-I55'!$B$33:$B$38</c:f>
              <c:numCache>
                <c:formatCode>General</c:formatCode>
                <c:ptCount val="6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26</c:v>
                </c:pt>
                <c:pt idx="4">
                  <c:v>30</c:v>
                </c:pt>
                <c:pt idx="5">
                  <c:v>36</c:v>
                </c:pt>
              </c:numCache>
            </c:numRef>
          </c:xVal>
          <c:yVal>
            <c:numRef>
              <c:f>'I32-I55'!$E$33:$E$38</c:f>
              <c:numCache>
                <c:formatCode>0.00E+00</c:formatCode>
                <c:ptCount val="6"/>
                <c:pt idx="0">
                  <c:v>1.7370912000000001E-3</c:v>
                </c:pt>
                <c:pt idx="1">
                  <c:v>2.2575249999999998E-3</c:v>
                </c:pt>
                <c:pt idx="2">
                  <c:v>2.3727920000000003E-3</c:v>
                </c:pt>
                <c:pt idx="3">
                  <c:v>2.5362639999999999E-3</c:v>
                </c:pt>
                <c:pt idx="4">
                  <c:v>2.5919889999999998E-3</c:v>
                </c:pt>
                <c:pt idx="5">
                  <c:v>2.675246E-3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6260856"/>
        <c:axId val="476262032"/>
      </c:scatterChart>
      <c:valAx>
        <c:axId val="4762608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6262032"/>
        <c:crosses val="autoZero"/>
        <c:crossBetween val="midCat"/>
      </c:valAx>
      <c:valAx>
        <c:axId val="476262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62608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I32 3L W (+6 Sigma)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'I32-I55'!$H$32</c:f>
              <c:strCache>
                <c:ptCount val="1"/>
                <c:pt idx="0">
                  <c:v>W (+6 Sigma)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4"/>
            <c:dispRSqr val="1"/>
            <c:dispEq val="1"/>
            <c:trendlineLbl>
              <c:layout>
                <c:manualLayout>
                  <c:x val="-1.0731438983263052E-2"/>
                  <c:y val="1.5335267302113551E-2"/>
                </c:manualLayout>
              </c:layout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1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'I32-I55'!$B$33:$B$38</c:f>
              <c:numCache>
                <c:formatCode>General</c:formatCode>
                <c:ptCount val="6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26</c:v>
                </c:pt>
                <c:pt idx="4">
                  <c:v>30</c:v>
                </c:pt>
                <c:pt idx="5">
                  <c:v>36</c:v>
                </c:pt>
              </c:numCache>
            </c:numRef>
          </c:xVal>
          <c:yVal>
            <c:numRef>
              <c:f>'I32-I55'!$H$33:$H$38</c:f>
              <c:numCache>
                <c:formatCode>0.00E+00</c:formatCode>
                <c:ptCount val="6"/>
                <c:pt idx="0">
                  <c:v>6.7717740000000004E-3</c:v>
                </c:pt>
                <c:pt idx="1">
                  <c:v>2.0023999000000001E-2</c:v>
                </c:pt>
                <c:pt idx="2">
                  <c:v>3.2865110000000003E-2</c:v>
                </c:pt>
                <c:pt idx="3">
                  <c:v>6.2931210000000001E-2</c:v>
                </c:pt>
                <c:pt idx="4">
                  <c:v>7.4645639999999999E-2</c:v>
                </c:pt>
                <c:pt idx="5">
                  <c:v>9.3036549999999996E-2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6269872"/>
        <c:axId val="476262424"/>
      </c:scatterChart>
      <c:valAx>
        <c:axId val="476269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6262424"/>
        <c:crosses val="autoZero"/>
        <c:crossBetween val="midCat"/>
      </c:valAx>
      <c:valAx>
        <c:axId val="476262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62698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I55 3H I (+6 Sigma)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'I32-I55'!$M$41</c:f>
              <c:strCache>
                <c:ptCount val="1"/>
                <c:pt idx="0">
                  <c:v>I (+6 Sigma)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5"/>
            <c:dispRSqr val="1"/>
            <c:dispEq val="1"/>
            <c:trendlineLbl>
              <c:layout>
                <c:manualLayout>
                  <c:x val="8.4137598230645941E-2"/>
                  <c:y val="0.38858833674386778"/>
                </c:manualLayout>
              </c:layout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1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'I32-I55'!$B$42:$B$47</c:f>
              <c:numCache>
                <c:formatCode>General</c:formatCode>
                <c:ptCount val="6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26</c:v>
                </c:pt>
                <c:pt idx="4">
                  <c:v>30</c:v>
                </c:pt>
                <c:pt idx="5">
                  <c:v>36</c:v>
                </c:pt>
              </c:numCache>
            </c:numRef>
          </c:xVal>
          <c:yVal>
            <c:numRef>
              <c:f>'I32-I55'!$M$42:$M$47</c:f>
              <c:numCache>
                <c:formatCode>0.00E+00</c:formatCode>
                <c:ptCount val="6"/>
                <c:pt idx="0">
                  <c:v>2.0897821000000001E-3</c:v>
                </c:pt>
                <c:pt idx="1">
                  <c:v>2.7011180000000002E-3</c:v>
                </c:pt>
                <c:pt idx="2">
                  <c:v>2.8200300000000003E-3</c:v>
                </c:pt>
                <c:pt idx="3">
                  <c:v>2.9737380000000001E-3</c:v>
                </c:pt>
                <c:pt idx="4">
                  <c:v>3.0246609999999997E-3</c:v>
                </c:pt>
                <c:pt idx="5">
                  <c:v>3.0997990000000003E-3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6262816"/>
        <c:axId val="476263208"/>
      </c:scatterChart>
      <c:valAx>
        <c:axId val="4762628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6263208"/>
        <c:crosses val="autoZero"/>
        <c:crossBetween val="midCat"/>
      </c:valAx>
      <c:valAx>
        <c:axId val="476263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62628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I55 3H W (+6 Sigma)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'I32-I55'!$P$41</c:f>
              <c:strCache>
                <c:ptCount val="1"/>
                <c:pt idx="0">
                  <c:v>W (+6 Sigma)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4"/>
            <c:dispRSqr val="1"/>
            <c:dispEq val="1"/>
            <c:trendlineLbl>
              <c:layout>
                <c:manualLayout>
                  <c:x val="-9.4897634899547339E-4"/>
                  <c:y val="-1.0943776764746511E-2"/>
                </c:manualLayout>
              </c:layout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1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'I32-I55'!$B$42:$B$47</c:f>
              <c:numCache>
                <c:formatCode>General</c:formatCode>
                <c:ptCount val="6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26</c:v>
                </c:pt>
                <c:pt idx="4">
                  <c:v>30</c:v>
                </c:pt>
                <c:pt idx="5">
                  <c:v>36</c:v>
                </c:pt>
              </c:numCache>
            </c:numRef>
          </c:xVal>
          <c:yVal>
            <c:numRef>
              <c:f>'I32-I55'!$P$42:$P$47</c:f>
              <c:numCache>
                <c:formatCode>0.00E+00</c:formatCode>
                <c:ptCount val="6"/>
                <c:pt idx="0">
                  <c:v>8.0714919999999996E-3</c:v>
                </c:pt>
                <c:pt idx="1">
                  <c:v>2.3840172999999999E-2</c:v>
                </c:pt>
                <c:pt idx="2">
                  <c:v>3.8941290000000003E-2</c:v>
                </c:pt>
                <c:pt idx="3">
                  <c:v>7.3675660000000004E-2</c:v>
                </c:pt>
                <c:pt idx="4">
                  <c:v>8.6998270000000003E-2</c:v>
                </c:pt>
                <c:pt idx="5">
                  <c:v>0.10769856999999999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6272224"/>
        <c:axId val="476272616"/>
      </c:scatterChart>
      <c:valAx>
        <c:axId val="4762722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6272616"/>
        <c:crosses val="autoZero"/>
        <c:crossBetween val="midCat"/>
      </c:valAx>
      <c:valAx>
        <c:axId val="476272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62722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Amp!$C$32</c:f>
              <c:strCache>
                <c:ptCount val="1"/>
                <c:pt idx="0">
                  <c:v>I (mean)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5"/>
            <c:dispRSqr val="1"/>
            <c:dispEq val="1"/>
            <c:trendlineLbl>
              <c:layout>
                <c:manualLayout>
                  <c:x val="7.9679352580927384E-2"/>
                  <c:y val="0.412087707786526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Amp!$B$33:$B$38</c:f>
              <c:numCache>
                <c:formatCode>General</c:formatCode>
                <c:ptCount val="6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26</c:v>
                </c:pt>
                <c:pt idx="4">
                  <c:v>30</c:v>
                </c:pt>
                <c:pt idx="5">
                  <c:v>36</c:v>
                </c:pt>
              </c:numCache>
            </c:numRef>
          </c:xVal>
          <c:yVal>
            <c:numRef>
              <c:f>Amp!$C$33:$C$38</c:f>
              <c:numCache>
                <c:formatCode>0.00E+00</c:formatCode>
                <c:ptCount val="6"/>
                <c:pt idx="0">
                  <c:v>3.9062400000000001E-3</c:v>
                </c:pt>
                <c:pt idx="1">
                  <c:v>5.0959300000000003E-3</c:v>
                </c:pt>
                <c:pt idx="2">
                  <c:v>5.3544600000000001E-3</c:v>
                </c:pt>
                <c:pt idx="3">
                  <c:v>5.9217899999999997E-3</c:v>
                </c:pt>
                <c:pt idx="4">
                  <c:v>5.7554900000000003E-3</c:v>
                </c:pt>
                <c:pt idx="5">
                  <c:v>5.9038199999999997E-3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6273008"/>
        <c:axId val="476274184"/>
      </c:scatterChart>
      <c:valAx>
        <c:axId val="4762730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6274184"/>
        <c:crosses val="autoZero"/>
        <c:crossBetween val="midCat"/>
      </c:valAx>
      <c:valAx>
        <c:axId val="476274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62730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Amp!$E$32</c:f>
              <c:strCache>
                <c:ptCount val="1"/>
                <c:pt idx="0">
                  <c:v>I (+6 Sigma)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4"/>
            <c:dispRSqr val="1"/>
            <c:dispEq val="1"/>
            <c:trendlineLbl>
              <c:layout>
                <c:manualLayout>
                  <c:x val="7.9679352580927384E-2"/>
                  <c:y val="0.412087707786526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Amp!$B$33:$B$38</c:f>
              <c:numCache>
                <c:formatCode>General</c:formatCode>
                <c:ptCount val="6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26</c:v>
                </c:pt>
                <c:pt idx="4">
                  <c:v>30</c:v>
                </c:pt>
                <c:pt idx="5">
                  <c:v>36</c:v>
                </c:pt>
              </c:numCache>
            </c:numRef>
          </c:xVal>
          <c:yVal>
            <c:numRef>
              <c:f>Amp!$E$33:$E$38</c:f>
              <c:numCache>
                <c:formatCode>General</c:formatCode>
                <c:ptCount val="6"/>
                <c:pt idx="0">
                  <c:v>4.4524500000000002E-3</c:v>
                </c:pt>
                <c:pt idx="1">
                  <c:v>5.9141710000000002E-3</c:v>
                </c:pt>
                <c:pt idx="2">
                  <c:v>6.1854900000000001E-3</c:v>
                </c:pt>
                <c:pt idx="3">
                  <c:v>6.7666169999999999E-3</c:v>
                </c:pt>
                <c:pt idx="4">
                  <c:v>6.599354E-3</c:v>
                </c:pt>
                <c:pt idx="5">
                  <c:v>6.7771649999999999E-3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6274576"/>
        <c:axId val="471710808"/>
      </c:scatterChart>
      <c:valAx>
        <c:axId val="4762745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1710808"/>
        <c:crosses val="autoZero"/>
        <c:crossBetween val="midCat"/>
      </c:valAx>
      <c:valAx>
        <c:axId val="471710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62745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Amp!$F$32</c:f>
              <c:strCache>
                <c:ptCount val="1"/>
                <c:pt idx="0">
                  <c:v>W (mean)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4"/>
            <c:dispRSqr val="1"/>
            <c:dispEq val="1"/>
            <c:trendlineLbl>
              <c:layout>
                <c:manualLayout>
                  <c:x val="7.9679352580927384E-2"/>
                  <c:y val="0.412087707786526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Amp!$B$33:$B$38</c:f>
              <c:numCache>
                <c:formatCode>General</c:formatCode>
                <c:ptCount val="6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26</c:v>
                </c:pt>
                <c:pt idx="4">
                  <c:v>30</c:v>
                </c:pt>
                <c:pt idx="5">
                  <c:v>36</c:v>
                </c:pt>
              </c:numCache>
            </c:numRef>
          </c:xVal>
          <c:yVal>
            <c:numRef>
              <c:f>Amp!$F$33:$F$38</c:f>
              <c:numCache>
                <c:formatCode>0.00E+00</c:formatCode>
                <c:ptCount val="6"/>
                <c:pt idx="0">
                  <c:v>1.9531199999999999E-2</c:v>
                </c:pt>
                <c:pt idx="1">
                  <c:v>5.0959299999999999E-2</c:v>
                </c:pt>
                <c:pt idx="2">
                  <c:v>8.0316899999999997E-2</c:v>
                </c:pt>
                <c:pt idx="3">
                  <c:v>0.147115</c:v>
                </c:pt>
                <c:pt idx="4">
                  <c:v>0.17266500000000001</c:v>
                </c:pt>
                <c:pt idx="5">
                  <c:v>0.212537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1711200"/>
        <c:axId val="471715904"/>
      </c:scatterChart>
      <c:valAx>
        <c:axId val="4717112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1715904"/>
        <c:crosses val="autoZero"/>
        <c:crossBetween val="midCat"/>
      </c:valAx>
      <c:valAx>
        <c:axId val="471715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17112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Amp!$H$32</c:f>
              <c:strCache>
                <c:ptCount val="1"/>
                <c:pt idx="0">
                  <c:v>W (+6 Sigma)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4"/>
            <c:dispRSqr val="1"/>
            <c:dispEq val="1"/>
            <c:trendlineLbl>
              <c:layout>
                <c:manualLayout>
                  <c:x val="7.9679352580927384E-2"/>
                  <c:y val="0.412087707786526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Amp!$B$33:$B$38</c:f>
              <c:numCache>
                <c:formatCode>General</c:formatCode>
                <c:ptCount val="6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26</c:v>
                </c:pt>
                <c:pt idx="4">
                  <c:v>30</c:v>
                </c:pt>
                <c:pt idx="5">
                  <c:v>36</c:v>
                </c:pt>
              </c:numCache>
            </c:numRef>
          </c:xVal>
          <c:yVal>
            <c:numRef>
              <c:f>Amp!$H$33:$H$38</c:f>
              <c:numCache>
                <c:formatCode>General</c:formatCode>
                <c:ptCount val="6"/>
                <c:pt idx="0">
                  <c:v>2.2262276999999997E-2</c:v>
                </c:pt>
                <c:pt idx="1">
                  <c:v>5.914171E-2</c:v>
                </c:pt>
                <c:pt idx="2">
                  <c:v>9.2782379999999998E-2</c:v>
                </c:pt>
                <c:pt idx="3">
                  <c:v>0.16876653999999999</c:v>
                </c:pt>
                <c:pt idx="4">
                  <c:v>0.19798095000000002</c:v>
                </c:pt>
                <c:pt idx="5">
                  <c:v>0.24397760000000002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1713552"/>
        <c:axId val="471717472"/>
      </c:scatterChart>
      <c:valAx>
        <c:axId val="4717135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1717472"/>
        <c:crosses val="autoZero"/>
        <c:crossBetween val="midCat"/>
      </c:valAx>
      <c:valAx>
        <c:axId val="471717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17135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Amp!$C$41</c:f>
              <c:strCache>
                <c:ptCount val="1"/>
                <c:pt idx="0">
                  <c:v>I (mean)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4"/>
            <c:dispRSqr val="1"/>
            <c:dispEq val="1"/>
            <c:trendlineLbl>
              <c:layout>
                <c:manualLayout>
                  <c:x val="7.9679352580927384E-2"/>
                  <c:y val="0.412087707786526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Amp!$B$42:$B$47</c:f>
              <c:numCache>
                <c:formatCode>General</c:formatCode>
                <c:ptCount val="6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26</c:v>
                </c:pt>
                <c:pt idx="4">
                  <c:v>30</c:v>
                </c:pt>
                <c:pt idx="5">
                  <c:v>36</c:v>
                </c:pt>
              </c:numCache>
            </c:numRef>
          </c:xVal>
          <c:yVal>
            <c:numRef>
              <c:f>Amp!$C$42:$C$47</c:f>
              <c:numCache>
                <c:formatCode>0.00E+00</c:formatCode>
                <c:ptCount val="6"/>
                <c:pt idx="0">
                  <c:v>4.3606599999999997E-3</c:v>
                </c:pt>
                <c:pt idx="1">
                  <c:v>5.5928599999999998E-3</c:v>
                </c:pt>
                <c:pt idx="2">
                  <c:v>5.8354599999999998E-3</c:v>
                </c:pt>
                <c:pt idx="3">
                  <c:v>6.3664000000000004E-3</c:v>
                </c:pt>
                <c:pt idx="4">
                  <c:v>6.2088200000000003E-3</c:v>
                </c:pt>
                <c:pt idx="5">
                  <c:v>6.3500199999999996E-3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1720608"/>
        <c:axId val="471711592"/>
      </c:scatterChart>
      <c:valAx>
        <c:axId val="4717206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1711592"/>
        <c:crosses val="autoZero"/>
        <c:crossBetween val="midCat"/>
      </c:valAx>
      <c:valAx>
        <c:axId val="471711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17206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Amp!$E$32</c:f>
              <c:strCache>
                <c:ptCount val="1"/>
                <c:pt idx="0">
                  <c:v>I (+6 Sigma)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4"/>
            <c:dispRSqr val="1"/>
            <c:dispEq val="1"/>
            <c:trendlineLbl>
              <c:layout>
                <c:manualLayout>
                  <c:x val="7.9679352580927384E-2"/>
                  <c:y val="0.4120877077865267"/>
                </c:manualLayout>
              </c:layout>
              <c:numFmt formatCode="0.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Amp!$B$33:$B$38</c:f>
              <c:numCache>
                <c:formatCode>General</c:formatCode>
                <c:ptCount val="6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26</c:v>
                </c:pt>
                <c:pt idx="4">
                  <c:v>30</c:v>
                </c:pt>
                <c:pt idx="5">
                  <c:v>36</c:v>
                </c:pt>
              </c:numCache>
            </c:numRef>
          </c:xVal>
          <c:yVal>
            <c:numRef>
              <c:f>Amp!$E$42:$E$47</c:f>
              <c:numCache>
                <c:formatCode>General</c:formatCode>
                <c:ptCount val="6"/>
                <c:pt idx="0">
                  <c:v>4.932301E-3</c:v>
                </c:pt>
                <c:pt idx="1">
                  <c:v>6.410153E-3</c:v>
                </c:pt>
                <c:pt idx="2">
                  <c:v>6.6776980000000001E-3</c:v>
                </c:pt>
                <c:pt idx="3">
                  <c:v>7.2515650000000006E-3</c:v>
                </c:pt>
                <c:pt idx="4">
                  <c:v>7.0914560000000003E-3</c:v>
                </c:pt>
                <c:pt idx="5">
                  <c:v>7.2650199999999996E-3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1717864"/>
        <c:axId val="471710416"/>
      </c:scatterChart>
      <c:valAx>
        <c:axId val="471717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1710416"/>
        <c:crosses val="autoZero"/>
        <c:crossBetween val="midCat"/>
      </c:valAx>
      <c:valAx>
        <c:axId val="471710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17178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Amp!$F$32</c:f>
              <c:strCache>
                <c:ptCount val="1"/>
                <c:pt idx="0">
                  <c:v>W (mean)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4"/>
            <c:dispRSqr val="1"/>
            <c:dispEq val="1"/>
            <c:trendlineLbl>
              <c:layout>
                <c:manualLayout>
                  <c:x val="6.0206898467432532E-2"/>
                  <c:y val="-4.1666666666666669E-4"/>
                </c:manualLayout>
              </c:layout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Amp!$B$33:$B$38</c:f>
              <c:numCache>
                <c:formatCode>General</c:formatCode>
                <c:ptCount val="6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26</c:v>
                </c:pt>
                <c:pt idx="4">
                  <c:v>30</c:v>
                </c:pt>
                <c:pt idx="5">
                  <c:v>36</c:v>
                </c:pt>
              </c:numCache>
            </c:numRef>
          </c:xVal>
          <c:yVal>
            <c:numRef>
              <c:f>Amp!$F$42:$F$47</c:f>
              <c:numCache>
                <c:formatCode>0.00E+00</c:formatCode>
                <c:ptCount val="6"/>
                <c:pt idx="0">
                  <c:v>2.1803300000000001E-2</c:v>
                </c:pt>
                <c:pt idx="1">
                  <c:v>5.5928600000000002E-2</c:v>
                </c:pt>
                <c:pt idx="2">
                  <c:v>8.7531899999999996E-2</c:v>
                </c:pt>
                <c:pt idx="3">
                  <c:v>0.159051</c:v>
                </c:pt>
                <c:pt idx="4">
                  <c:v>0.18626400000000001</c:v>
                </c:pt>
                <c:pt idx="5">
                  <c:v>0.228601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1719432"/>
        <c:axId val="471715512"/>
      </c:scatterChart>
      <c:valAx>
        <c:axId val="4717194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1715512"/>
        <c:crosses val="autoZero"/>
        <c:crossBetween val="midCat"/>
      </c:valAx>
      <c:valAx>
        <c:axId val="471715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17194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Amp!$H$32</c:f>
              <c:strCache>
                <c:ptCount val="1"/>
                <c:pt idx="0">
                  <c:v>W (+6 Sigma)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4"/>
            <c:dispRSqr val="1"/>
            <c:dispEq val="1"/>
            <c:trendlineLbl>
              <c:layout/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Amp!$B$33:$B$38</c:f>
              <c:numCache>
                <c:formatCode>General</c:formatCode>
                <c:ptCount val="6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26</c:v>
                </c:pt>
                <c:pt idx="4">
                  <c:v>30</c:v>
                </c:pt>
                <c:pt idx="5">
                  <c:v>36</c:v>
                </c:pt>
              </c:numCache>
            </c:numRef>
          </c:xVal>
          <c:yVal>
            <c:numRef>
              <c:f>Amp!$H$42:$H$47</c:f>
              <c:numCache>
                <c:formatCode>General</c:formatCode>
                <c:ptCount val="6"/>
                <c:pt idx="0">
                  <c:v>2.4661499E-2</c:v>
                </c:pt>
                <c:pt idx="1">
                  <c:v>6.4101530000000004E-2</c:v>
                </c:pt>
                <c:pt idx="2">
                  <c:v>0.10016546999999999</c:v>
                </c:pt>
                <c:pt idx="3">
                  <c:v>0.18158721</c:v>
                </c:pt>
                <c:pt idx="4">
                  <c:v>0.21274317000000001</c:v>
                </c:pt>
                <c:pt idx="5">
                  <c:v>0.26154100000000002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1711984"/>
        <c:axId val="471714728"/>
      </c:scatterChart>
      <c:valAx>
        <c:axId val="4717119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1714728"/>
        <c:crosses val="autoZero"/>
        <c:crossBetween val="midCat"/>
      </c:valAx>
      <c:valAx>
        <c:axId val="471714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17119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aseline="0"/>
              <a:t>Mean Power Through Device I32 (Negative Input)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6"/>
            <c:dispRSqr val="1"/>
            <c:dispEq val="1"/>
            <c:trendlineLbl>
              <c:layout>
                <c:manualLayout>
                  <c:x val="8.7790463692038495E-2"/>
                  <c:y val="-0.57792468649752116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'Comparator Data'!$B$15:$B$21</c:f>
              <c:numCache>
                <c:formatCode>General</c:formatCode>
                <c:ptCount val="7"/>
                <c:pt idx="0">
                  <c:v>36</c:v>
                </c:pt>
                <c:pt idx="1">
                  <c:v>30</c:v>
                </c:pt>
                <c:pt idx="2">
                  <c:v>20</c:v>
                </c:pt>
                <c:pt idx="3">
                  <c:v>15</c:v>
                </c:pt>
                <c:pt idx="4">
                  <c:v>10</c:v>
                </c:pt>
                <c:pt idx="5">
                  <c:v>5</c:v>
                </c:pt>
                <c:pt idx="6">
                  <c:v>2.7</c:v>
                </c:pt>
              </c:numCache>
            </c:numRef>
          </c:xVal>
          <c:yVal>
            <c:numRef>
              <c:f>'Comparator Data'!$C$25:$C$31</c:f>
              <c:numCache>
                <c:formatCode>0.00E+00</c:formatCode>
                <c:ptCount val="7"/>
                <c:pt idx="0">
                  <c:v>2.2588999999999999E-4</c:v>
                </c:pt>
                <c:pt idx="1">
                  <c:v>1.2272999999999999E-2</c:v>
                </c:pt>
                <c:pt idx="2">
                  <c:v>2.9756000000000001E-2</c:v>
                </c:pt>
                <c:pt idx="3">
                  <c:v>2.9118999999999999E-2</c:v>
                </c:pt>
                <c:pt idx="4">
                  <c:v>1.9961E-2</c:v>
                </c:pt>
                <c:pt idx="5">
                  <c:v>7.3280000000000003E-3</c:v>
                </c:pt>
                <c:pt idx="6">
                  <c:v>1.606E-3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1718256"/>
        <c:axId val="471716688"/>
      </c:scatterChart>
      <c:valAx>
        <c:axId val="4717182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Supply Voltage (V)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1716688"/>
        <c:crosses val="autoZero"/>
        <c:crossBetween val="midCat"/>
      </c:valAx>
      <c:valAx>
        <c:axId val="471716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</a:t>
                </a:r>
                <a:r>
                  <a:rPr lang="en-US" baseline="0"/>
                  <a:t> (A)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17182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aseline="0"/>
              <a:t>St. Dev Power Through Device I32 (Negative Input)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5"/>
            <c:dispRSqr val="1"/>
            <c:dispEq val="1"/>
            <c:trendlineLbl>
              <c:layout>
                <c:manualLayout>
                  <c:x val="-0.26826034996323872"/>
                  <c:y val="-0.55766556491448371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'Comparator Data'!$B$15:$B$21</c:f>
              <c:numCache>
                <c:formatCode>General</c:formatCode>
                <c:ptCount val="7"/>
                <c:pt idx="0">
                  <c:v>36</c:v>
                </c:pt>
                <c:pt idx="1">
                  <c:v>30</c:v>
                </c:pt>
                <c:pt idx="2">
                  <c:v>20</c:v>
                </c:pt>
                <c:pt idx="3">
                  <c:v>15</c:v>
                </c:pt>
                <c:pt idx="4">
                  <c:v>10</c:v>
                </c:pt>
                <c:pt idx="5">
                  <c:v>5</c:v>
                </c:pt>
                <c:pt idx="6">
                  <c:v>2.7</c:v>
                </c:pt>
              </c:numCache>
            </c:numRef>
          </c:xVal>
          <c:yVal>
            <c:numRef>
              <c:f>'Comparator Data'!$S$25:$S$31</c:f>
              <c:numCache>
                <c:formatCode>0.00E+00</c:formatCode>
                <c:ptCount val="7"/>
                <c:pt idx="0">
                  <c:v>6.2462900000000007E-3</c:v>
                </c:pt>
                <c:pt idx="1">
                  <c:v>8.2226999999999995E-2</c:v>
                </c:pt>
                <c:pt idx="2">
                  <c:v>4.6292E-2</c:v>
                </c:pt>
                <c:pt idx="3">
                  <c:v>3.5573800000000003E-2</c:v>
                </c:pt>
                <c:pt idx="4">
                  <c:v>2.5434379999999999E-2</c:v>
                </c:pt>
                <c:pt idx="5">
                  <c:v>9.1088599999999999E-3</c:v>
                </c:pt>
                <c:pt idx="6">
                  <c:v>1.9695580000000002E-3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1712376"/>
        <c:axId val="471712768"/>
      </c:scatterChart>
      <c:valAx>
        <c:axId val="471712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Supply Voltage (V)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1712768"/>
        <c:crosses val="autoZero"/>
        <c:crossBetween val="midCat"/>
      </c:valAx>
      <c:valAx>
        <c:axId val="471712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</a:t>
                </a:r>
                <a:r>
                  <a:rPr lang="en-US" baseline="0"/>
                  <a:t> (A)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17123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baseline="0">
                <a:effectLst/>
              </a:rPr>
              <a:t>Mean </a:t>
            </a:r>
            <a:r>
              <a:rPr lang="en-US" baseline="0"/>
              <a:t>Power Through Device I55 (Positive Input)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5"/>
            <c:dispRSqr val="1"/>
            <c:dispEq val="1"/>
            <c:trendlineLbl>
              <c:layout>
                <c:manualLayout>
                  <c:x val="-0.12453237471118569"/>
                  <c:y val="-0.1154920478693135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'Comparator Data'!$B$15:$B$21</c:f>
              <c:numCache>
                <c:formatCode>General</c:formatCode>
                <c:ptCount val="7"/>
                <c:pt idx="0">
                  <c:v>36</c:v>
                </c:pt>
                <c:pt idx="1">
                  <c:v>30</c:v>
                </c:pt>
                <c:pt idx="2">
                  <c:v>20</c:v>
                </c:pt>
                <c:pt idx="3">
                  <c:v>15</c:v>
                </c:pt>
                <c:pt idx="4">
                  <c:v>10</c:v>
                </c:pt>
                <c:pt idx="5">
                  <c:v>5</c:v>
                </c:pt>
                <c:pt idx="6">
                  <c:v>2.7</c:v>
                </c:pt>
              </c:numCache>
            </c:numRef>
          </c:xVal>
          <c:yVal>
            <c:numRef>
              <c:f>'Comparator Data'!$D$35:$D$41</c:f>
              <c:numCache>
                <c:formatCode>0.00E+00</c:formatCode>
                <c:ptCount val="7"/>
                <c:pt idx="0">
                  <c:v>1.4044000000000001E-3</c:v>
                </c:pt>
                <c:pt idx="1">
                  <c:v>2.6865E-2</c:v>
                </c:pt>
                <c:pt idx="2">
                  <c:v>4.7262999999999999E-2</c:v>
                </c:pt>
                <c:pt idx="3">
                  <c:v>3.9653000000000001E-2</c:v>
                </c:pt>
                <c:pt idx="4">
                  <c:v>2.5898000000000001E-2</c:v>
                </c:pt>
                <c:pt idx="5">
                  <c:v>8.7440999999999994E-3</c:v>
                </c:pt>
                <c:pt idx="6">
                  <c:v>1.7769999999999999E-3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1713160"/>
        <c:axId val="471713944"/>
      </c:scatterChart>
      <c:valAx>
        <c:axId val="471713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Supply Voltage (V)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1713944"/>
        <c:crosses val="autoZero"/>
        <c:crossBetween val="midCat"/>
      </c:valAx>
      <c:valAx>
        <c:axId val="471713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</a:t>
                </a:r>
                <a:r>
                  <a:rPr lang="en-US" baseline="0"/>
                  <a:t> (A)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17131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aseline="0"/>
              <a:t>St. Dev Power Through Device I55 (Positive Input)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5"/>
            <c:dispRSqr val="1"/>
            <c:dispEq val="1"/>
            <c:trendlineLbl>
              <c:layout>
                <c:manualLayout>
                  <c:x val="-1.8244412173642678E-2"/>
                  <c:y val="1.2580864972502032E-5"/>
                </c:manualLayout>
              </c:layout>
              <c:numFmt formatCode="0.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'Comparator Data'!$B$15:$B$21</c:f>
              <c:numCache>
                <c:formatCode>General</c:formatCode>
                <c:ptCount val="7"/>
                <c:pt idx="0">
                  <c:v>36</c:v>
                </c:pt>
                <c:pt idx="1">
                  <c:v>30</c:v>
                </c:pt>
                <c:pt idx="2">
                  <c:v>20</c:v>
                </c:pt>
                <c:pt idx="3">
                  <c:v>15</c:v>
                </c:pt>
                <c:pt idx="4">
                  <c:v>10</c:v>
                </c:pt>
                <c:pt idx="5">
                  <c:v>5</c:v>
                </c:pt>
                <c:pt idx="6">
                  <c:v>2.7</c:v>
                </c:pt>
              </c:numCache>
            </c:numRef>
          </c:xVal>
          <c:yVal>
            <c:numRef>
              <c:f>'Comparator Data'!$T$35:$T$41</c:f>
              <c:numCache>
                <c:formatCode>0.00E+00</c:formatCode>
                <c:ptCount val="7"/>
                <c:pt idx="0">
                  <c:v>2.1100600000000001E-2</c:v>
                </c:pt>
                <c:pt idx="1">
                  <c:v>0.109929</c:v>
                </c:pt>
                <c:pt idx="2">
                  <c:v>6.2950599999999995E-2</c:v>
                </c:pt>
                <c:pt idx="3">
                  <c:v>4.8747800000000001E-2</c:v>
                </c:pt>
                <c:pt idx="4">
                  <c:v>3.1322420000000004E-2</c:v>
                </c:pt>
                <c:pt idx="5">
                  <c:v>1.069956E-2</c:v>
                </c:pt>
                <c:pt idx="6">
                  <c:v>2.1610539999999999E-3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1714336"/>
        <c:axId val="471724136"/>
      </c:scatterChart>
      <c:valAx>
        <c:axId val="4717143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Supply Voltage (V)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1724136"/>
        <c:crosses val="autoZero"/>
        <c:crossBetween val="midCat"/>
      </c:valAx>
      <c:valAx>
        <c:axId val="471724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</a:t>
                </a:r>
                <a:r>
                  <a:rPr lang="en-US" baseline="0"/>
                  <a:t> (A)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17143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aseline="0"/>
              <a:t>Mean Power Whole Amp (Negative Input)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4"/>
            <c:dispRSqr val="1"/>
            <c:dispEq val="1"/>
            <c:trendlineLbl>
              <c:layout>
                <c:manualLayout>
                  <c:x val="-0.18943126402998825"/>
                  <c:y val="1.4528558417198452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'Comparator Data'!$B$15:$B$21</c:f>
              <c:numCache>
                <c:formatCode>General</c:formatCode>
                <c:ptCount val="7"/>
                <c:pt idx="0">
                  <c:v>36</c:v>
                </c:pt>
                <c:pt idx="1">
                  <c:v>30</c:v>
                </c:pt>
                <c:pt idx="2">
                  <c:v>20</c:v>
                </c:pt>
                <c:pt idx="3">
                  <c:v>15</c:v>
                </c:pt>
                <c:pt idx="4">
                  <c:v>10</c:v>
                </c:pt>
                <c:pt idx="5">
                  <c:v>5</c:v>
                </c:pt>
                <c:pt idx="6">
                  <c:v>2.7</c:v>
                </c:pt>
              </c:numCache>
            </c:numRef>
          </c:xVal>
          <c:yVal>
            <c:numRef>
              <c:f>'Comparator Data'!$I$25:$I$31</c:f>
              <c:numCache>
                <c:formatCode>0.00E+00</c:formatCode>
                <c:ptCount val="7"/>
                <c:pt idx="0">
                  <c:v>1.6315999999999999</c:v>
                </c:pt>
                <c:pt idx="1">
                  <c:v>0.70470999999999995</c:v>
                </c:pt>
                <c:pt idx="2">
                  <c:v>0.31228</c:v>
                </c:pt>
                <c:pt idx="3">
                  <c:v>0.19048000000000001</c:v>
                </c:pt>
                <c:pt idx="4">
                  <c:v>9.7031999999999993E-2</c:v>
                </c:pt>
                <c:pt idx="5">
                  <c:v>3.0424E-2</c:v>
                </c:pt>
                <c:pt idx="6">
                  <c:v>8.0733000000000003E-3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1724528"/>
        <c:axId val="471724920"/>
      </c:scatterChart>
      <c:valAx>
        <c:axId val="4717245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Supply Voltage (V)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1724920"/>
        <c:crosses val="autoZero"/>
        <c:crossBetween val="midCat"/>
      </c:valAx>
      <c:valAx>
        <c:axId val="471724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</a:t>
                </a:r>
                <a:r>
                  <a:rPr lang="en-US" baseline="0"/>
                  <a:t> (A)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17245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aseline="0"/>
              <a:t>St. Dev Power Whole Amp (Negative Input)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5"/>
            <c:dispRSqr val="1"/>
            <c:dispEq val="1"/>
            <c:trendlineLbl>
              <c:layout>
                <c:manualLayout>
                  <c:x val="-0.11045321241245581"/>
                  <c:y val="2.5675789939345602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'Comparator Data'!$B$15:$B$21</c:f>
              <c:numCache>
                <c:formatCode>General</c:formatCode>
                <c:ptCount val="7"/>
                <c:pt idx="0">
                  <c:v>36</c:v>
                </c:pt>
                <c:pt idx="1">
                  <c:v>30</c:v>
                </c:pt>
                <c:pt idx="2">
                  <c:v>20</c:v>
                </c:pt>
                <c:pt idx="3">
                  <c:v>15</c:v>
                </c:pt>
                <c:pt idx="4">
                  <c:v>10</c:v>
                </c:pt>
                <c:pt idx="5">
                  <c:v>5</c:v>
                </c:pt>
                <c:pt idx="6">
                  <c:v>2.7</c:v>
                </c:pt>
              </c:numCache>
            </c:numRef>
          </c:xVal>
          <c:yVal>
            <c:numRef>
              <c:f>'Comparator Data'!$Y$25:$Y$31</c:f>
              <c:numCache>
                <c:formatCode>0.00E+00</c:formatCode>
                <c:ptCount val="7"/>
                <c:pt idx="0">
                  <c:v>4.0062199999999999</c:v>
                </c:pt>
                <c:pt idx="1">
                  <c:v>1.40971</c:v>
                </c:pt>
                <c:pt idx="2">
                  <c:v>0.48786399999999996</c:v>
                </c:pt>
                <c:pt idx="3">
                  <c:v>0.26185000000000003</c:v>
                </c:pt>
                <c:pt idx="4">
                  <c:v>0.12189839999999999</c:v>
                </c:pt>
                <c:pt idx="5">
                  <c:v>3.7451200000000004E-2</c:v>
                </c:pt>
                <c:pt idx="6">
                  <c:v>9.8241600000000002E-3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1725312"/>
        <c:axId val="471723744"/>
      </c:scatterChart>
      <c:valAx>
        <c:axId val="4717253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Supply Voltage (V)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1723744"/>
        <c:crosses val="autoZero"/>
        <c:crossBetween val="midCat"/>
      </c:valAx>
      <c:valAx>
        <c:axId val="471723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</a:t>
                </a:r>
                <a:r>
                  <a:rPr lang="en-US" baseline="0"/>
                  <a:t> (A)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17253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baseline="0">
                <a:effectLst/>
              </a:rPr>
              <a:t>Mean </a:t>
            </a:r>
            <a:r>
              <a:rPr lang="en-US" baseline="0"/>
              <a:t>Power Whole Amp (Positive Input)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4"/>
            <c:dispRSqr val="1"/>
            <c:dispEq val="1"/>
            <c:trendlineLbl>
              <c:layout>
                <c:manualLayout>
                  <c:x val="-0.10703777599369775"/>
                  <c:y val="1.782328214871811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'Comparator Data'!$B$15:$B$21</c:f>
              <c:numCache>
                <c:formatCode>General</c:formatCode>
                <c:ptCount val="7"/>
                <c:pt idx="0">
                  <c:v>36</c:v>
                </c:pt>
                <c:pt idx="1">
                  <c:v>30</c:v>
                </c:pt>
                <c:pt idx="2">
                  <c:v>20</c:v>
                </c:pt>
                <c:pt idx="3">
                  <c:v>15</c:v>
                </c:pt>
                <c:pt idx="4">
                  <c:v>10</c:v>
                </c:pt>
                <c:pt idx="5">
                  <c:v>5</c:v>
                </c:pt>
                <c:pt idx="6">
                  <c:v>2.7</c:v>
                </c:pt>
              </c:numCache>
            </c:numRef>
          </c:xVal>
          <c:yVal>
            <c:numRef>
              <c:f>'Comparator Data'!$I$35:$I$41</c:f>
              <c:numCache>
                <c:formatCode>0.00E+00</c:formatCode>
                <c:ptCount val="7"/>
                <c:pt idx="0">
                  <c:v>1.4084000000000001</c:v>
                </c:pt>
                <c:pt idx="1">
                  <c:v>0.70584999999999998</c:v>
                </c:pt>
                <c:pt idx="2">
                  <c:v>0.32744000000000001</c:v>
                </c:pt>
                <c:pt idx="3">
                  <c:v>0.20250000000000001</c:v>
                </c:pt>
                <c:pt idx="4">
                  <c:v>0.10426000000000001</c:v>
                </c:pt>
                <c:pt idx="5">
                  <c:v>3.2577000000000002E-2</c:v>
                </c:pt>
                <c:pt idx="6">
                  <c:v>8.5004E-3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1723352"/>
        <c:axId val="574100368"/>
      </c:scatterChart>
      <c:valAx>
        <c:axId val="4717233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Supply Voltage (V)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4100368"/>
        <c:crosses val="autoZero"/>
        <c:crossBetween val="midCat"/>
      </c:valAx>
      <c:valAx>
        <c:axId val="574100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</a:t>
                </a:r>
                <a:r>
                  <a:rPr lang="en-US" baseline="0"/>
                  <a:t> (A)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17233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aseline="0"/>
              <a:t>St. Dev Power Whole Amp (Positive Input)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5"/>
            <c:dispRSqr val="1"/>
            <c:dispEq val="1"/>
            <c:trendlineLbl>
              <c:layout>
                <c:manualLayout>
                  <c:x val="-8.9421218871008387E-2"/>
                  <c:y val="1.4833717537345419E-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'Comparator Data'!$B$15:$B$21</c:f>
              <c:numCache>
                <c:formatCode>General</c:formatCode>
                <c:ptCount val="7"/>
                <c:pt idx="0">
                  <c:v>36</c:v>
                </c:pt>
                <c:pt idx="1">
                  <c:v>30</c:v>
                </c:pt>
                <c:pt idx="2">
                  <c:v>20</c:v>
                </c:pt>
                <c:pt idx="3">
                  <c:v>15</c:v>
                </c:pt>
                <c:pt idx="4">
                  <c:v>10</c:v>
                </c:pt>
                <c:pt idx="5">
                  <c:v>5</c:v>
                </c:pt>
                <c:pt idx="6">
                  <c:v>2.7</c:v>
                </c:pt>
              </c:numCache>
            </c:numRef>
          </c:xVal>
          <c:yVal>
            <c:numRef>
              <c:f>'Comparator Data'!$Y$35:$Y$41</c:f>
              <c:numCache>
                <c:formatCode>0.00E+00</c:formatCode>
                <c:ptCount val="7"/>
                <c:pt idx="0">
                  <c:v>3.5571799999999998</c:v>
                </c:pt>
                <c:pt idx="1">
                  <c:v>1.2898540000000001</c:v>
                </c:pt>
                <c:pt idx="2">
                  <c:v>0.509606</c:v>
                </c:pt>
                <c:pt idx="3">
                  <c:v>0.27695999999999998</c:v>
                </c:pt>
                <c:pt idx="4">
                  <c:v>0.12935440000000001</c:v>
                </c:pt>
                <c:pt idx="5">
                  <c:v>3.9771000000000001E-2</c:v>
                </c:pt>
                <c:pt idx="6">
                  <c:v>1.036748E-2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4101152"/>
        <c:axId val="574101936"/>
      </c:scatterChart>
      <c:valAx>
        <c:axId val="5741011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Supply Voltage (V)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4101936"/>
        <c:crosses val="autoZero"/>
        <c:crossBetween val="midCat"/>
      </c:valAx>
      <c:valAx>
        <c:axId val="574101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</a:t>
                </a:r>
                <a:r>
                  <a:rPr lang="en-US" baseline="0"/>
                  <a:t> (A)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41011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aseline="0"/>
              <a:t>Mean Current Through Device I32 (Negative Input)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6"/>
            <c:dispRSqr val="1"/>
            <c:dispEq val="1"/>
            <c:trendlineLbl>
              <c:layout>
                <c:manualLayout>
                  <c:x val="8.7790463692038495E-2"/>
                  <c:y val="-0.57792468649752116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'Comparator Data'!$B$15:$B$21</c:f>
              <c:numCache>
                <c:formatCode>General</c:formatCode>
                <c:ptCount val="7"/>
                <c:pt idx="0">
                  <c:v>36</c:v>
                </c:pt>
                <c:pt idx="1">
                  <c:v>30</c:v>
                </c:pt>
                <c:pt idx="2">
                  <c:v>20</c:v>
                </c:pt>
                <c:pt idx="3">
                  <c:v>15</c:v>
                </c:pt>
                <c:pt idx="4">
                  <c:v>10</c:v>
                </c:pt>
                <c:pt idx="5">
                  <c:v>5</c:v>
                </c:pt>
                <c:pt idx="6">
                  <c:v>2.7</c:v>
                </c:pt>
              </c:numCache>
            </c:numRef>
          </c:xVal>
          <c:yVal>
            <c:numRef>
              <c:f>'Comparator Data'!$C$5:$C$11</c:f>
              <c:numCache>
                <c:formatCode>0.00E+00</c:formatCode>
                <c:ptCount val="7"/>
                <c:pt idx="0">
                  <c:v>6.4999999999999996E-6</c:v>
                </c:pt>
                <c:pt idx="1">
                  <c:v>4.2670000000000002E-4</c:v>
                </c:pt>
                <c:pt idx="2">
                  <c:v>1.8001E-3</c:v>
                </c:pt>
                <c:pt idx="3">
                  <c:v>2.1047000000000001E-3</c:v>
                </c:pt>
                <c:pt idx="4">
                  <c:v>2.2495000000000002E-3</c:v>
                </c:pt>
                <c:pt idx="5">
                  <c:v>1.8703000000000001E-3</c:v>
                </c:pt>
                <c:pt idx="6">
                  <c:v>9.8714000000000007E-4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4099192"/>
        <c:axId val="574099584"/>
      </c:scatterChart>
      <c:valAx>
        <c:axId val="5740991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Supply Voltage (V)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4099584"/>
        <c:crosses val="autoZero"/>
        <c:crossBetween val="midCat"/>
      </c:valAx>
      <c:valAx>
        <c:axId val="574099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</a:t>
                </a:r>
                <a:r>
                  <a:rPr lang="en-US" baseline="0"/>
                  <a:t> (A)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40991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aseline="0"/>
              <a:t>St. Dev Current Through Device I32 (Negative Input)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5"/>
            <c:dispRSqr val="1"/>
            <c:dispEq val="1"/>
            <c:trendlineLbl>
              <c:layout>
                <c:manualLayout>
                  <c:x val="-0.18289953351738622"/>
                  <c:y val="-9.1971389357583005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'Comparator Data'!$B$15:$B$21</c:f>
              <c:numCache>
                <c:formatCode>General</c:formatCode>
                <c:ptCount val="7"/>
                <c:pt idx="0">
                  <c:v>36</c:v>
                </c:pt>
                <c:pt idx="1">
                  <c:v>30</c:v>
                </c:pt>
                <c:pt idx="2">
                  <c:v>20</c:v>
                </c:pt>
                <c:pt idx="3">
                  <c:v>15</c:v>
                </c:pt>
                <c:pt idx="4">
                  <c:v>10</c:v>
                </c:pt>
                <c:pt idx="5">
                  <c:v>5</c:v>
                </c:pt>
                <c:pt idx="6">
                  <c:v>2.7</c:v>
                </c:pt>
              </c:numCache>
            </c:numRef>
          </c:xVal>
          <c:yVal>
            <c:numRef>
              <c:f>'Comparator Data'!$S$5:$S$11</c:f>
              <c:numCache>
                <c:formatCode>0.00E+00</c:formatCode>
                <c:ptCount val="7"/>
                <c:pt idx="0">
                  <c:v>1.7988800000000001E-4</c:v>
                </c:pt>
                <c:pt idx="1">
                  <c:v>2.8557399999999998E-3</c:v>
                </c:pt>
                <c:pt idx="2">
                  <c:v>2.6727399999999998E-3</c:v>
                </c:pt>
                <c:pt idx="3">
                  <c:v>2.5759940000000003E-3</c:v>
                </c:pt>
                <c:pt idx="4">
                  <c:v>2.8817800000000005E-3</c:v>
                </c:pt>
                <c:pt idx="5">
                  <c:v>2.3427460000000002E-3</c:v>
                </c:pt>
                <c:pt idx="6">
                  <c:v>1.2188780000000001E-3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4089784"/>
        <c:axId val="574090568"/>
      </c:scatterChart>
      <c:valAx>
        <c:axId val="5740897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Supply Voltage (V)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4090568"/>
        <c:crosses val="autoZero"/>
        <c:crossBetween val="midCat"/>
      </c:valAx>
      <c:valAx>
        <c:axId val="574090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</a:t>
                </a:r>
                <a:r>
                  <a:rPr lang="en-US" baseline="0"/>
                  <a:t> (A)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40897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baseline="0">
                <a:effectLst/>
              </a:rPr>
              <a:t>Mean </a:t>
            </a:r>
            <a:r>
              <a:rPr lang="en-US" baseline="0"/>
              <a:t>Current Through Device I55 (Positive Input)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5"/>
            <c:dispRSqr val="1"/>
            <c:dispEq val="1"/>
            <c:trendlineLbl>
              <c:layout>
                <c:manualLayout>
                  <c:x val="8.7790463692038495E-2"/>
                  <c:y val="-0.57792468649752116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'Comparator Data'!$B$15:$B$21</c:f>
              <c:numCache>
                <c:formatCode>General</c:formatCode>
                <c:ptCount val="7"/>
                <c:pt idx="0">
                  <c:v>36</c:v>
                </c:pt>
                <c:pt idx="1">
                  <c:v>30</c:v>
                </c:pt>
                <c:pt idx="2">
                  <c:v>20</c:v>
                </c:pt>
                <c:pt idx="3">
                  <c:v>15</c:v>
                </c:pt>
                <c:pt idx="4">
                  <c:v>10</c:v>
                </c:pt>
                <c:pt idx="5">
                  <c:v>5</c:v>
                </c:pt>
                <c:pt idx="6">
                  <c:v>2.7</c:v>
                </c:pt>
              </c:numCache>
            </c:numRef>
          </c:xVal>
          <c:yVal>
            <c:numRef>
              <c:f>'Comparator Data'!$D$15:$D$21</c:f>
              <c:numCache>
                <c:formatCode>0.00E+00</c:formatCode>
                <c:ptCount val="7"/>
                <c:pt idx="0">
                  <c:v>4.0507999999999999E-5</c:v>
                </c:pt>
                <c:pt idx="1">
                  <c:v>9.3504999999999999E-4</c:v>
                </c:pt>
                <c:pt idx="2">
                  <c:v>2.5175000000000002E-3</c:v>
                </c:pt>
                <c:pt idx="3">
                  <c:v>2.8743000000000002E-3</c:v>
                </c:pt>
                <c:pt idx="4">
                  <c:v>2.9356E-3</c:v>
                </c:pt>
                <c:pt idx="5">
                  <c:v>2.2555000000000001E-3</c:v>
                </c:pt>
                <c:pt idx="6">
                  <c:v>1.1103E-3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4089000"/>
        <c:axId val="574096840"/>
      </c:scatterChart>
      <c:valAx>
        <c:axId val="5740890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Supply Voltage (V)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4096840"/>
        <c:crosses val="autoZero"/>
        <c:crossBetween val="midCat"/>
      </c:valAx>
      <c:valAx>
        <c:axId val="574096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</a:t>
                </a:r>
                <a:r>
                  <a:rPr lang="en-US" baseline="0"/>
                  <a:t> (A)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40890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aseline="0"/>
              <a:t>St. Dev Current Through Device I55 (Positive Input)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5"/>
            <c:dispRSqr val="1"/>
            <c:dispEq val="1"/>
            <c:trendlineLbl>
              <c:layout>
                <c:manualLayout>
                  <c:x val="-0.14432755280052054"/>
                  <c:y val="-0.10329767877189693"/>
                </c:manualLayout>
              </c:layout>
              <c:numFmt formatCode="0.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'Comparator Data'!$B$15:$B$21</c:f>
              <c:numCache>
                <c:formatCode>General</c:formatCode>
                <c:ptCount val="7"/>
                <c:pt idx="0">
                  <c:v>36</c:v>
                </c:pt>
                <c:pt idx="1">
                  <c:v>30</c:v>
                </c:pt>
                <c:pt idx="2">
                  <c:v>20</c:v>
                </c:pt>
                <c:pt idx="3">
                  <c:v>15</c:v>
                </c:pt>
                <c:pt idx="4">
                  <c:v>10</c:v>
                </c:pt>
                <c:pt idx="5">
                  <c:v>5</c:v>
                </c:pt>
                <c:pt idx="6">
                  <c:v>2.7</c:v>
                </c:pt>
              </c:numCache>
            </c:numRef>
          </c:xVal>
          <c:yVal>
            <c:numRef>
              <c:f>'Comparator Data'!$T$15:$T$21</c:f>
              <c:numCache>
                <c:formatCode>0.00E+00</c:formatCode>
                <c:ptCount val="7"/>
                <c:pt idx="0">
                  <c:v>6.0805400000000002E-4</c:v>
                </c:pt>
                <c:pt idx="1">
                  <c:v>3.8233299999999998E-3</c:v>
                </c:pt>
                <c:pt idx="2">
                  <c:v>3.3498800000000004E-3</c:v>
                </c:pt>
                <c:pt idx="3">
                  <c:v>3.5393400000000002E-3</c:v>
                </c:pt>
                <c:pt idx="4">
                  <c:v>3.5662599999999999E-3</c:v>
                </c:pt>
                <c:pt idx="5">
                  <c:v>2.7818980000000001E-3</c:v>
                </c:pt>
                <c:pt idx="6">
                  <c:v>1.3652099999999999E-3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4087824"/>
        <c:axId val="574091744"/>
      </c:scatterChart>
      <c:valAx>
        <c:axId val="5740878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Supply Voltage (V)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4091744"/>
        <c:crosses val="autoZero"/>
        <c:crossBetween val="midCat"/>
      </c:valAx>
      <c:valAx>
        <c:axId val="574091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</a:t>
                </a:r>
                <a:r>
                  <a:rPr lang="en-US" baseline="0"/>
                  <a:t> (A)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40878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aseline="0"/>
              <a:t>Mean Current Whole Amp (Negative Input)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4"/>
            <c:dispRSqr val="1"/>
            <c:dispEq val="1"/>
            <c:trendlineLbl>
              <c:layout>
                <c:manualLayout>
                  <c:x val="-0.18943126402998825"/>
                  <c:y val="1.4528558417198452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'Comparator Data'!$B$15:$B$21</c:f>
              <c:numCache>
                <c:formatCode>General</c:formatCode>
                <c:ptCount val="7"/>
                <c:pt idx="0">
                  <c:v>36</c:v>
                </c:pt>
                <c:pt idx="1">
                  <c:v>30</c:v>
                </c:pt>
                <c:pt idx="2">
                  <c:v>20</c:v>
                </c:pt>
                <c:pt idx="3">
                  <c:v>15</c:v>
                </c:pt>
                <c:pt idx="4">
                  <c:v>10</c:v>
                </c:pt>
                <c:pt idx="5">
                  <c:v>5</c:v>
                </c:pt>
                <c:pt idx="6">
                  <c:v>2.7</c:v>
                </c:pt>
              </c:numCache>
            </c:numRef>
          </c:xVal>
          <c:yVal>
            <c:numRef>
              <c:f>'Comparator Data'!$I$5:$I$11</c:f>
              <c:numCache>
                <c:formatCode>0.00E+00</c:formatCode>
                <c:ptCount val="7"/>
                <c:pt idx="0">
                  <c:v>4.4999999999999998E-2</c:v>
                </c:pt>
                <c:pt idx="1">
                  <c:v>2.349E-2</c:v>
                </c:pt>
                <c:pt idx="2">
                  <c:v>1.5613999999999999E-2</c:v>
                </c:pt>
                <c:pt idx="3">
                  <c:v>1.2699E-2</c:v>
                </c:pt>
                <c:pt idx="4">
                  <c:v>9.7032000000000004E-3</c:v>
                </c:pt>
                <c:pt idx="5">
                  <c:v>6.0847000000000002E-3</c:v>
                </c:pt>
                <c:pt idx="6">
                  <c:v>2.9900999999999999E-3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4088608"/>
        <c:axId val="574092920"/>
      </c:scatterChart>
      <c:valAx>
        <c:axId val="5740886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Supply Voltage (V)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4092920"/>
        <c:crosses val="autoZero"/>
        <c:crossBetween val="midCat"/>
      </c:valAx>
      <c:valAx>
        <c:axId val="574092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</a:t>
                </a:r>
                <a:r>
                  <a:rPr lang="en-US" baseline="0"/>
                  <a:t> (A)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40886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aseline="0"/>
              <a:t>St. Dev Current Whole Amp (Negative Input)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5"/>
            <c:dispRSqr val="1"/>
            <c:dispEq val="1"/>
            <c:trendlineLbl>
              <c:layout>
                <c:manualLayout>
                  <c:x val="-0.11045321241245581"/>
                  <c:y val="2.5675789939345602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'Comparator Data'!$B$15:$B$21</c:f>
              <c:numCache>
                <c:formatCode>General</c:formatCode>
                <c:ptCount val="7"/>
                <c:pt idx="0">
                  <c:v>36</c:v>
                </c:pt>
                <c:pt idx="1">
                  <c:v>30</c:v>
                </c:pt>
                <c:pt idx="2">
                  <c:v>20</c:v>
                </c:pt>
                <c:pt idx="3">
                  <c:v>15</c:v>
                </c:pt>
                <c:pt idx="4">
                  <c:v>10</c:v>
                </c:pt>
                <c:pt idx="5">
                  <c:v>5</c:v>
                </c:pt>
                <c:pt idx="6">
                  <c:v>2.7</c:v>
                </c:pt>
              </c:numCache>
            </c:numRef>
          </c:xVal>
          <c:yVal>
            <c:numRef>
              <c:f>'Comparator Data'!$Y$5:$Y$11</c:f>
              <c:numCache>
                <c:formatCode>0.00E+00</c:formatCode>
                <c:ptCount val="7"/>
                <c:pt idx="0">
                  <c:v>0.11096399999999999</c:v>
                </c:pt>
                <c:pt idx="1">
                  <c:v>4.6989600000000006E-2</c:v>
                </c:pt>
                <c:pt idx="2">
                  <c:v>2.43932E-2</c:v>
                </c:pt>
                <c:pt idx="3">
                  <c:v>1.745712E-2</c:v>
                </c:pt>
                <c:pt idx="4">
                  <c:v>1.218984E-2</c:v>
                </c:pt>
                <c:pt idx="5">
                  <c:v>7.4902000000000007E-3</c:v>
                </c:pt>
                <c:pt idx="6">
                  <c:v>3.6385799999999998E-3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4097624"/>
        <c:axId val="574093312"/>
      </c:scatterChart>
      <c:valAx>
        <c:axId val="5740976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Supply Voltage (V)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4093312"/>
        <c:crosses val="autoZero"/>
        <c:crossBetween val="midCat"/>
      </c:valAx>
      <c:valAx>
        <c:axId val="574093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</a:t>
                </a:r>
                <a:r>
                  <a:rPr lang="en-US" baseline="0"/>
                  <a:t> (A)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40976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baseline="0">
                <a:effectLst/>
              </a:rPr>
              <a:t>Mean </a:t>
            </a:r>
            <a:r>
              <a:rPr lang="en-US" baseline="0"/>
              <a:t>Current Whole Amp (Positive Input)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4"/>
            <c:dispRSqr val="1"/>
            <c:dispEq val="1"/>
            <c:trendlineLbl>
              <c:layout>
                <c:manualLayout>
                  <c:x val="-0.10703777599369775"/>
                  <c:y val="1.782328214871811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'Comparator Data'!$B$15:$B$21</c:f>
              <c:numCache>
                <c:formatCode>General</c:formatCode>
                <c:ptCount val="7"/>
                <c:pt idx="0">
                  <c:v>36</c:v>
                </c:pt>
                <c:pt idx="1">
                  <c:v>30</c:v>
                </c:pt>
                <c:pt idx="2">
                  <c:v>20</c:v>
                </c:pt>
                <c:pt idx="3">
                  <c:v>15</c:v>
                </c:pt>
                <c:pt idx="4">
                  <c:v>10</c:v>
                </c:pt>
                <c:pt idx="5">
                  <c:v>5</c:v>
                </c:pt>
                <c:pt idx="6">
                  <c:v>2.7</c:v>
                </c:pt>
              </c:numCache>
            </c:numRef>
          </c:xVal>
          <c:yVal>
            <c:numRef>
              <c:f>'Comparator Data'!$I$15:$I$21</c:f>
              <c:numCache>
                <c:formatCode>0.00E+00</c:formatCode>
                <c:ptCount val="7"/>
                <c:pt idx="0">
                  <c:v>3.9121000000000003E-2</c:v>
                </c:pt>
                <c:pt idx="1">
                  <c:v>2.3528E-2</c:v>
                </c:pt>
                <c:pt idx="2">
                  <c:v>1.6372000000000001E-2</c:v>
                </c:pt>
                <c:pt idx="3">
                  <c:v>1.35E-2</c:v>
                </c:pt>
                <c:pt idx="4">
                  <c:v>1.0426E-2</c:v>
                </c:pt>
                <c:pt idx="5">
                  <c:v>6.5154000000000002E-3</c:v>
                </c:pt>
                <c:pt idx="6">
                  <c:v>3.1483000000000001E-3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4098016"/>
        <c:axId val="574094096"/>
      </c:scatterChart>
      <c:valAx>
        <c:axId val="5740980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Supply Voltage (V)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4094096"/>
        <c:crosses val="autoZero"/>
        <c:crossBetween val="midCat"/>
      </c:valAx>
      <c:valAx>
        <c:axId val="574094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</a:t>
                </a:r>
                <a:r>
                  <a:rPr lang="en-US" baseline="0"/>
                  <a:t> (A)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40980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aseline="0"/>
              <a:t>St. Dev Current Whole Amp (Positive Input)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5"/>
            <c:dispRSqr val="1"/>
            <c:dispEq val="1"/>
            <c:trendlineLbl>
              <c:layout>
                <c:manualLayout>
                  <c:x val="-8.9421218871008387E-2"/>
                  <c:y val="1.4833717537345419E-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'Comparator Data'!$B$15:$B$21</c:f>
              <c:numCache>
                <c:formatCode>General</c:formatCode>
                <c:ptCount val="7"/>
                <c:pt idx="0">
                  <c:v>36</c:v>
                </c:pt>
                <c:pt idx="1">
                  <c:v>30</c:v>
                </c:pt>
                <c:pt idx="2">
                  <c:v>20</c:v>
                </c:pt>
                <c:pt idx="3">
                  <c:v>15</c:v>
                </c:pt>
                <c:pt idx="4">
                  <c:v>10</c:v>
                </c:pt>
                <c:pt idx="5">
                  <c:v>5</c:v>
                </c:pt>
                <c:pt idx="6">
                  <c:v>2.7</c:v>
                </c:pt>
              </c:numCache>
            </c:numRef>
          </c:xVal>
          <c:yVal>
            <c:numRef>
              <c:f>'Comparator Data'!$Y$15:$Y$21</c:f>
              <c:numCache>
                <c:formatCode>0.00E+00</c:formatCode>
                <c:ptCount val="7"/>
                <c:pt idx="0">
                  <c:v>9.8809599999999997E-2</c:v>
                </c:pt>
                <c:pt idx="1">
                  <c:v>4.2994999999999998E-2</c:v>
                </c:pt>
                <c:pt idx="2">
                  <c:v>2.5480600000000003E-2</c:v>
                </c:pt>
                <c:pt idx="3">
                  <c:v>1.8464100000000001E-2</c:v>
                </c:pt>
                <c:pt idx="4">
                  <c:v>1.2935439999999999E-2</c:v>
                </c:pt>
                <c:pt idx="5">
                  <c:v>7.9541999999999998E-3</c:v>
                </c:pt>
                <c:pt idx="6">
                  <c:v>3.8398E-3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7195560"/>
        <c:axId val="577199088"/>
      </c:scatterChart>
      <c:valAx>
        <c:axId val="5771955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Supply Voltage (V)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7199088"/>
        <c:crosses val="autoZero"/>
        <c:crossBetween val="midCat"/>
      </c:valAx>
      <c:valAx>
        <c:axId val="577199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</a:t>
                </a:r>
                <a:r>
                  <a:rPr lang="en-US" baseline="0"/>
                  <a:t> (A)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71955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2.xml"/><Relationship Id="rId3" Type="http://schemas.openxmlformats.org/officeDocument/2006/relationships/chart" Target="../charts/chart7.xml"/><Relationship Id="rId7" Type="http://schemas.openxmlformats.org/officeDocument/2006/relationships/chart" Target="../charts/chart11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chart" Target="../charts/chart10.xml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0.xml"/><Relationship Id="rId13" Type="http://schemas.openxmlformats.org/officeDocument/2006/relationships/chart" Target="../charts/chart25.xml"/><Relationship Id="rId3" Type="http://schemas.openxmlformats.org/officeDocument/2006/relationships/chart" Target="../charts/chart15.xml"/><Relationship Id="rId7" Type="http://schemas.openxmlformats.org/officeDocument/2006/relationships/chart" Target="../charts/chart19.xml"/><Relationship Id="rId12" Type="http://schemas.openxmlformats.org/officeDocument/2006/relationships/chart" Target="../charts/chart24.xml"/><Relationship Id="rId2" Type="http://schemas.openxmlformats.org/officeDocument/2006/relationships/chart" Target="../charts/chart14.xml"/><Relationship Id="rId16" Type="http://schemas.openxmlformats.org/officeDocument/2006/relationships/chart" Target="../charts/chart28.xml"/><Relationship Id="rId1" Type="http://schemas.openxmlformats.org/officeDocument/2006/relationships/chart" Target="../charts/chart13.xml"/><Relationship Id="rId6" Type="http://schemas.openxmlformats.org/officeDocument/2006/relationships/chart" Target="../charts/chart18.xml"/><Relationship Id="rId11" Type="http://schemas.openxmlformats.org/officeDocument/2006/relationships/chart" Target="../charts/chart23.xml"/><Relationship Id="rId5" Type="http://schemas.openxmlformats.org/officeDocument/2006/relationships/chart" Target="../charts/chart17.xml"/><Relationship Id="rId15" Type="http://schemas.openxmlformats.org/officeDocument/2006/relationships/chart" Target="../charts/chart27.xml"/><Relationship Id="rId10" Type="http://schemas.openxmlformats.org/officeDocument/2006/relationships/chart" Target="../charts/chart22.xml"/><Relationship Id="rId4" Type="http://schemas.openxmlformats.org/officeDocument/2006/relationships/chart" Target="../charts/chart16.xml"/><Relationship Id="rId9" Type="http://schemas.openxmlformats.org/officeDocument/2006/relationships/chart" Target="../charts/chart21.xml"/><Relationship Id="rId14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605117</xdr:colOff>
      <xdr:row>53</xdr:row>
      <xdr:rowOff>186018</xdr:rowOff>
    </xdr:from>
    <xdr:to>
      <xdr:col>10</xdr:col>
      <xdr:colOff>0</xdr:colOff>
      <xdr:row>73</xdr:row>
      <xdr:rowOff>190499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</xdr:colOff>
      <xdr:row>75</xdr:row>
      <xdr:rowOff>0</xdr:rowOff>
    </xdr:from>
    <xdr:to>
      <xdr:col>10</xdr:col>
      <xdr:colOff>0</xdr:colOff>
      <xdr:row>94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54</xdr:row>
      <xdr:rowOff>0</xdr:rowOff>
    </xdr:from>
    <xdr:to>
      <xdr:col>21</xdr:col>
      <xdr:colOff>0</xdr:colOff>
      <xdr:row>74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3</xdr:colOff>
      <xdr:row>75</xdr:row>
      <xdr:rowOff>0</xdr:rowOff>
    </xdr:from>
    <xdr:to>
      <xdr:col>21</xdr:col>
      <xdr:colOff>0</xdr:colOff>
      <xdr:row>94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33618</xdr:colOff>
      <xdr:row>50</xdr:row>
      <xdr:rowOff>12327</xdr:rowOff>
    </xdr:from>
    <xdr:to>
      <xdr:col>6</xdr:col>
      <xdr:colOff>291354</xdr:colOff>
      <xdr:row>64</xdr:row>
      <xdr:rowOff>88527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280147</xdr:colOff>
      <xdr:row>50</xdr:row>
      <xdr:rowOff>0</xdr:rowOff>
    </xdr:from>
    <xdr:to>
      <xdr:col>13</xdr:col>
      <xdr:colOff>100853</xdr:colOff>
      <xdr:row>64</xdr:row>
      <xdr:rowOff>76200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22411</xdr:colOff>
      <xdr:row>64</xdr:row>
      <xdr:rowOff>89648</xdr:rowOff>
    </xdr:from>
    <xdr:to>
      <xdr:col>6</xdr:col>
      <xdr:colOff>280147</xdr:colOff>
      <xdr:row>78</xdr:row>
      <xdr:rowOff>165848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291353</xdr:colOff>
      <xdr:row>64</xdr:row>
      <xdr:rowOff>89647</xdr:rowOff>
    </xdr:from>
    <xdr:to>
      <xdr:col>13</xdr:col>
      <xdr:colOff>112059</xdr:colOff>
      <xdr:row>78</xdr:row>
      <xdr:rowOff>165847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33618</xdr:colOff>
      <xdr:row>50</xdr:row>
      <xdr:rowOff>12327</xdr:rowOff>
    </xdr:from>
    <xdr:to>
      <xdr:col>20</xdr:col>
      <xdr:colOff>291354</xdr:colOff>
      <xdr:row>64</xdr:row>
      <xdr:rowOff>88527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280147</xdr:colOff>
      <xdr:row>50</xdr:row>
      <xdr:rowOff>0</xdr:rowOff>
    </xdr:from>
    <xdr:to>
      <xdr:col>27</xdr:col>
      <xdr:colOff>100853</xdr:colOff>
      <xdr:row>64</xdr:row>
      <xdr:rowOff>76200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22411</xdr:colOff>
      <xdr:row>64</xdr:row>
      <xdr:rowOff>89648</xdr:rowOff>
    </xdr:from>
    <xdr:to>
      <xdr:col>20</xdr:col>
      <xdr:colOff>280147</xdr:colOff>
      <xdr:row>78</xdr:row>
      <xdr:rowOff>165848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20</xdr:col>
      <xdr:colOff>291353</xdr:colOff>
      <xdr:row>64</xdr:row>
      <xdr:rowOff>89647</xdr:rowOff>
    </xdr:from>
    <xdr:to>
      <xdr:col>27</xdr:col>
      <xdr:colOff>112059</xdr:colOff>
      <xdr:row>78</xdr:row>
      <xdr:rowOff>165847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681</xdr:colOff>
      <xdr:row>42</xdr:row>
      <xdr:rowOff>183921</xdr:rowOff>
    </xdr:from>
    <xdr:to>
      <xdr:col>13</xdr:col>
      <xdr:colOff>53068</xdr:colOff>
      <xdr:row>60</xdr:row>
      <xdr:rowOff>172810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608240</xdr:colOff>
      <xdr:row>61</xdr:row>
      <xdr:rowOff>182335</xdr:rowOff>
    </xdr:from>
    <xdr:to>
      <xdr:col>13</xdr:col>
      <xdr:colOff>48307</xdr:colOff>
      <xdr:row>79</xdr:row>
      <xdr:rowOff>171224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608239</xdr:colOff>
      <xdr:row>42</xdr:row>
      <xdr:rowOff>182335</xdr:rowOff>
    </xdr:from>
    <xdr:to>
      <xdr:col>26</xdr:col>
      <xdr:colOff>48307</xdr:colOff>
      <xdr:row>60</xdr:row>
      <xdr:rowOff>171224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53349</xdr:colOff>
      <xdr:row>61</xdr:row>
      <xdr:rowOff>180749</xdr:rowOff>
    </xdr:from>
    <xdr:to>
      <xdr:col>26</xdr:col>
      <xdr:colOff>105738</xdr:colOff>
      <xdr:row>79</xdr:row>
      <xdr:rowOff>169638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27</xdr:col>
      <xdr:colOff>0</xdr:colOff>
      <xdr:row>43</xdr:row>
      <xdr:rowOff>1586</xdr:rowOff>
    </xdr:from>
    <xdr:to>
      <xdr:col>39</xdr:col>
      <xdr:colOff>489415</xdr:colOff>
      <xdr:row>60</xdr:row>
      <xdr:rowOff>180975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27</xdr:col>
      <xdr:colOff>2441</xdr:colOff>
      <xdr:row>62</xdr:row>
      <xdr:rowOff>0</xdr:rowOff>
    </xdr:from>
    <xdr:to>
      <xdr:col>39</xdr:col>
      <xdr:colOff>484654</xdr:colOff>
      <xdr:row>79</xdr:row>
      <xdr:rowOff>179389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40</xdr:col>
      <xdr:colOff>439469</xdr:colOff>
      <xdr:row>43</xdr:row>
      <xdr:rowOff>0</xdr:rowOff>
    </xdr:from>
    <xdr:to>
      <xdr:col>52</xdr:col>
      <xdr:colOff>484655</xdr:colOff>
      <xdr:row>60</xdr:row>
      <xdr:rowOff>179389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40</xdr:col>
      <xdr:colOff>489697</xdr:colOff>
      <xdr:row>61</xdr:row>
      <xdr:rowOff>188914</xdr:rowOff>
    </xdr:from>
    <xdr:to>
      <xdr:col>52</xdr:col>
      <xdr:colOff>542086</xdr:colOff>
      <xdr:row>79</xdr:row>
      <xdr:rowOff>177803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81</xdr:row>
      <xdr:rowOff>0</xdr:rowOff>
    </xdr:from>
    <xdr:to>
      <xdr:col>13</xdr:col>
      <xdr:colOff>52387</xdr:colOff>
      <xdr:row>98</xdr:row>
      <xdr:rowOff>179389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2441</xdr:colOff>
      <xdr:row>99</xdr:row>
      <xdr:rowOff>188914</xdr:rowOff>
    </xdr:from>
    <xdr:to>
      <xdr:col>13</xdr:col>
      <xdr:colOff>47626</xdr:colOff>
      <xdr:row>117</xdr:row>
      <xdr:rowOff>177803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14</xdr:col>
      <xdr:colOff>0</xdr:colOff>
      <xdr:row>81</xdr:row>
      <xdr:rowOff>0</xdr:rowOff>
    </xdr:from>
    <xdr:to>
      <xdr:col>26</xdr:col>
      <xdr:colOff>45186</xdr:colOff>
      <xdr:row>98</xdr:row>
      <xdr:rowOff>179389</xdr:rowOff>
    </xdr:to>
    <xdr:graphicFrame macro="">
      <xdr:nvGraphicFramePr>
        <xdr:cNvPr id="1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14</xdr:col>
      <xdr:colOff>50228</xdr:colOff>
      <xdr:row>99</xdr:row>
      <xdr:rowOff>188914</xdr:rowOff>
    </xdr:from>
    <xdr:to>
      <xdr:col>26</xdr:col>
      <xdr:colOff>102617</xdr:colOff>
      <xdr:row>117</xdr:row>
      <xdr:rowOff>177803</xdr:rowOff>
    </xdr:to>
    <xdr:graphicFrame macro="">
      <xdr:nvGraphicFramePr>
        <xdr:cNvPr id="1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27</xdr:col>
      <xdr:colOff>0</xdr:colOff>
      <xdr:row>81</xdr:row>
      <xdr:rowOff>0</xdr:rowOff>
    </xdr:from>
    <xdr:to>
      <xdr:col>39</xdr:col>
      <xdr:colOff>489415</xdr:colOff>
      <xdr:row>98</xdr:row>
      <xdr:rowOff>179389</xdr:rowOff>
    </xdr:to>
    <xdr:graphicFrame macro="">
      <xdr:nvGraphicFramePr>
        <xdr:cNvPr id="1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27</xdr:col>
      <xdr:colOff>2441</xdr:colOff>
      <xdr:row>99</xdr:row>
      <xdr:rowOff>188914</xdr:rowOff>
    </xdr:from>
    <xdr:to>
      <xdr:col>39</xdr:col>
      <xdr:colOff>484654</xdr:colOff>
      <xdr:row>117</xdr:row>
      <xdr:rowOff>177803</xdr:rowOff>
    </xdr:to>
    <xdr:graphicFrame macro="">
      <xdr:nvGraphicFramePr>
        <xdr:cNvPr id="1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40</xdr:col>
      <xdr:colOff>459441</xdr:colOff>
      <xdr:row>81</xdr:row>
      <xdr:rowOff>78441</xdr:rowOff>
    </xdr:from>
    <xdr:to>
      <xdr:col>52</xdr:col>
      <xdr:colOff>504627</xdr:colOff>
      <xdr:row>99</xdr:row>
      <xdr:rowOff>67330</xdr:rowOff>
    </xdr:to>
    <xdr:graphicFrame macro="">
      <xdr:nvGraphicFramePr>
        <xdr:cNvPr id="16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40</xdr:col>
      <xdr:colOff>509669</xdr:colOff>
      <xdr:row>100</xdr:row>
      <xdr:rowOff>76855</xdr:rowOff>
    </xdr:from>
    <xdr:to>
      <xdr:col>52</xdr:col>
      <xdr:colOff>562058</xdr:colOff>
      <xdr:row>118</xdr:row>
      <xdr:rowOff>65744</xdr:rowOff>
    </xdr:to>
    <xdr:graphicFrame macro="">
      <xdr:nvGraphicFramePr>
        <xdr:cNvPr id="17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1"/>
  <sheetViews>
    <sheetView tabSelected="1" workbookViewId="0">
      <selection activeCell="C16" sqref="C16:D16"/>
    </sheetView>
  </sheetViews>
  <sheetFormatPr defaultRowHeight="15" x14ac:dyDescent="0.25"/>
  <cols>
    <col min="2" max="2" width="13.7109375" style="8" bestFit="1" customWidth="1"/>
    <col min="3" max="3" width="11.42578125" style="1" customWidth="1"/>
    <col min="4" max="4" width="7" style="1" customWidth="1"/>
    <col min="7" max="7" width="13" customWidth="1"/>
    <col min="8" max="8" width="10.140625" customWidth="1"/>
    <col min="9" max="16" width="13.42578125" customWidth="1"/>
  </cols>
  <sheetData>
    <row r="1" spans="2:16" ht="18" customHeight="1" x14ac:dyDescent="0.25">
      <c r="B1" s="29" t="s">
        <v>136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2:16" ht="18" customHeight="1" x14ac:dyDescent="0.25"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2:16" ht="18" customHeight="1" x14ac:dyDescent="0.25"/>
    <row r="4" spans="2:16" ht="18" customHeight="1" x14ac:dyDescent="0.25">
      <c r="B4" s="33" t="s">
        <v>89</v>
      </c>
      <c r="C4" s="34"/>
      <c r="D4" s="35"/>
    </row>
    <row r="5" spans="2:16" ht="18" customHeight="1" x14ac:dyDescent="0.25"/>
    <row r="6" spans="2:16" ht="18" customHeight="1" x14ac:dyDescent="0.25">
      <c r="B6" s="14" t="s">
        <v>67</v>
      </c>
      <c r="C6" s="14" t="s">
        <v>65</v>
      </c>
      <c r="D6" s="14" t="s">
        <v>66</v>
      </c>
      <c r="G6" s="1"/>
      <c r="H6" s="1"/>
      <c r="I6" s="28" t="s">
        <v>71</v>
      </c>
      <c r="J6" s="28"/>
      <c r="K6" s="28"/>
      <c r="L6" s="28"/>
      <c r="M6" s="28"/>
      <c r="N6" s="28"/>
      <c r="O6" s="28"/>
      <c r="P6" s="28"/>
    </row>
    <row r="7" spans="2:16" ht="18" customHeight="1" x14ac:dyDescent="0.25">
      <c r="B7" s="14" t="s">
        <v>22</v>
      </c>
      <c r="C7" s="27">
        <v>18</v>
      </c>
      <c r="D7" s="15" t="s">
        <v>0</v>
      </c>
      <c r="G7" s="1"/>
      <c r="H7" s="1"/>
      <c r="I7" s="39" t="s">
        <v>69</v>
      </c>
      <c r="J7" s="39"/>
      <c r="K7" s="39"/>
      <c r="L7" s="39"/>
      <c r="M7" s="39" t="s">
        <v>70</v>
      </c>
      <c r="N7" s="39"/>
      <c r="O7" s="39"/>
      <c r="P7" s="39"/>
    </row>
    <row r="8" spans="2:16" ht="18" customHeight="1" x14ac:dyDescent="0.25">
      <c r="B8" s="14" t="s">
        <v>23</v>
      </c>
      <c r="C8" s="27">
        <v>-18</v>
      </c>
      <c r="D8" s="15" t="s">
        <v>0</v>
      </c>
      <c r="G8" s="14" t="s">
        <v>75</v>
      </c>
      <c r="H8" s="14" t="s">
        <v>45</v>
      </c>
      <c r="I8" s="14" t="s">
        <v>77</v>
      </c>
      <c r="J8" s="14" t="s">
        <v>47</v>
      </c>
      <c r="K8" s="14" t="s">
        <v>73</v>
      </c>
      <c r="L8" s="14" t="s">
        <v>78</v>
      </c>
      <c r="M8" s="14" t="s">
        <v>77</v>
      </c>
      <c r="N8" s="14" t="s">
        <v>47</v>
      </c>
      <c r="O8" s="14" t="s">
        <v>73</v>
      </c>
      <c r="P8" s="14" t="s">
        <v>78</v>
      </c>
    </row>
    <row r="9" spans="2:16" ht="18" customHeight="1" x14ac:dyDescent="0.25">
      <c r="B9" s="14" t="s">
        <v>24</v>
      </c>
      <c r="C9" s="15">
        <f>C7-C8</f>
        <v>36</v>
      </c>
      <c r="D9" s="15" t="s">
        <v>0</v>
      </c>
      <c r="G9" s="14" t="s">
        <v>22</v>
      </c>
      <c r="H9" s="15">
        <f>'I32-I55'!T6</f>
        <v>0</v>
      </c>
      <c r="I9" s="18">
        <f>'I32-I55'!U6</f>
        <v>0</v>
      </c>
      <c r="J9" s="18">
        <f>'I32-I55'!V6</f>
        <v>0</v>
      </c>
      <c r="K9" s="19">
        <f>$C$13</f>
        <v>9</v>
      </c>
      <c r="L9" s="20">
        <f>J9*K9</f>
        <v>0</v>
      </c>
      <c r="M9" s="18">
        <f>'I32-I55'!W6</f>
        <v>0</v>
      </c>
      <c r="N9" s="18">
        <f>'I32-I55'!X6</f>
        <v>0</v>
      </c>
      <c r="O9" s="19">
        <f>C12</f>
        <v>374</v>
      </c>
      <c r="P9" s="20">
        <f>N9*O9</f>
        <v>0</v>
      </c>
    </row>
    <row r="10" spans="2:16" ht="18" customHeight="1" x14ac:dyDescent="0.25">
      <c r="B10" s="5"/>
      <c r="G10" s="14" t="s">
        <v>23</v>
      </c>
      <c r="H10" s="15">
        <f>'I32-I55'!T7</f>
        <v>1</v>
      </c>
      <c r="I10" s="18">
        <f>'I32-I55'!U7</f>
        <v>5.8842958548121797E-3</v>
      </c>
      <c r="J10" s="18">
        <f>'I32-I55'!V7</f>
        <v>0.21251860215391358</v>
      </c>
      <c r="K10" s="19">
        <f>$C$13</f>
        <v>9</v>
      </c>
      <c r="L10" s="20">
        <f t="shared" ref="L10:L11" si="0">J10*K10</f>
        <v>1.9126674193852222</v>
      </c>
      <c r="M10" s="18">
        <f>'I32-I55'!W7</f>
        <v>2.329820000000031E-3</v>
      </c>
      <c r="N10" s="18">
        <f>'I32-I55'!X7</f>
        <v>8.1082598863082569E-2</v>
      </c>
      <c r="O10" s="19">
        <f>C11</f>
        <v>458</v>
      </c>
      <c r="P10" s="20">
        <f t="shared" ref="P10" si="1">N10*O10</f>
        <v>37.135830279291817</v>
      </c>
    </row>
    <row r="11" spans="2:16" ht="18" customHeight="1" x14ac:dyDescent="0.25">
      <c r="B11" s="14" t="s">
        <v>85</v>
      </c>
      <c r="C11" s="15">
        <v>458</v>
      </c>
      <c r="D11" s="15" t="s">
        <v>41</v>
      </c>
      <c r="G11" s="14" t="s">
        <v>40</v>
      </c>
      <c r="H11" s="15">
        <f>'I32-I55'!T8</f>
        <v>3</v>
      </c>
      <c r="I11" s="18">
        <f>'I32-I55'!U8</f>
        <v>5.7656629050348365E-3</v>
      </c>
      <c r="J11" s="18">
        <f>'I32-I55'!V8</f>
        <v>0.20826468075036475</v>
      </c>
      <c r="K11" s="19">
        <f>$C$13</f>
        <v>9</v>
      </c>
      <c r="L11" s="20">
        <f t="shared" si="0"/>
        <v>1.8743821267532828</v>
      </c>
      <c r="M11" s="18">
        <f>'I32-I55'!W8</f>
        <v>0</v>
      </c>
      <c r="N11" s="18">
        <f>'I32-I55'!X8</f>
        <v>0</v>
      </c>
      <c r="O11" s="19" t="s">
        <v>68</v>
      </c>
      <c r="P11" s="20">
        <v>0</v>
      </c>
    </row>
    <row r="12" spans="2:16" ht="18" customHeight="1" x14ac:dyDescent="0.25">
      <c r="B12" s="14" t="s">
        <v>84</v>
      </c>
      <c r="C12" s="15">
        <v>374</v>
      </c>
      <c r="D12" s="15" t="s">
        <v>41</v>
      </c>
      <c r="G12" s="14" t="s">
        <v>76</v>
      </c>
      <c r="H12" s="15">
        <f>'I32-I55'!T9</f>
        <v>0</v>
      </c>
      <c r="I12" s="15" t="str">
        <f>'I32-I55'!U9</f>
        <v>-</v>
      </c>
      <c r="J12" s="15" t="str">
        <f>'I32-I55'!V9</f>
        <v>-</v>
      </c>
      <c r="K12" s="15" t="s">
        <v>68</v>
      </c>
      <c r="L12" s="15" t="s">
        <v>68</v>
      </c>
      <c r="M12" s="15" t="s">
        <v>68</v>
      </c>
      <c r="N12" s="15" t="s">
        <v>68</v>
      </c>
      <c r="O12" s="15" t="s">
        <v>68</v>
      </c>
      <c r="P12" s="15" t="s">
        <v>68</v>
      </c>
    </row>
    <row r="13" spans="2:16" ht="18" customHeight="1" x14ac:dyDescent="0.25">
      <c r="B13" s="14" t="s">
        <v>83</v>
      </c>
      <c r="C13" s="27">
        <v>9</v>
      </c>
      <c r="D13" s="15" t="s">
        <v>41</v>
      </c>
      <c r="G13" s="1"/>
      <c r="H13" s="1"/>
    </row>
    <row r="14" spans="2:16" ht="18" customHeight="1" x14ac:dyDescent="0.25">
      <c r="B14" s="1"/>
      <c r="G14" s="1"/>
      <c r="H14" s="1"/>
    </row>
    <row r="15" spans="2:16" ht="18" customHeight="1" x14ac:dyDescent="0.25">
      <c r="B15" s="14" t="s">
        <v>25</v>
      </c>
      <c r="C15" s="36" t="s">
        <v>40</v>
      </c>
      <c r="D15" s="37"/>
      <c r="G15" s="1"/>
      <c r="H15" s="1"/>
      <c r="I15" s="28" t="s">
        <v>72</v>
      </c>
      <c r="J15" s="28"/>
      <c r="K15" s="28"/>
      <c r="L15" s="28"/>
      <c r="M15" s="28"/>
      <c r="N15" s="28"/>
      <c r="O15" s="28"/>
      <c r="P15" s="28"/>
    </row>
    <row r="16" spans="2:16" ht="18" customHeight="1" x14ac:dyDescent="0.25">
      <c r="B16" s="14" t="s">
        <v>26</v>
      </c>
      <c r="C16" s="36" t="s">
        <v>40</v>
      </c>
      <c r="D16" s="37"/>
      <c r="G16" s="1"/>
      <c r="H16" s="1"/>
      <c r="I16" s="39" t="s">
        <v>69</v>
      </c>
      <c r="J16" s="39"/>
      <c r="K16" s="39"/>
      <c r="L16" s="39"/>
      <c r="M16" s="39" t="s">
        <v>70</v>
      </c>
      <c r="N16" s="39"/>
      <c r="O16" s="39"/>
      <c r="P16" s="39"/>
    </row>
    <row r="17" spans="2:16" ht="18" customHeight="1" x14ac:dyDescent="0.25">
      <c r="B17" s="14" t="s">
        <v>27</v>
      </c>
      <c r="C17" s="36" t="s">
        <v>40</v>
      </c>
      <c r="D17" s="37"/>
      <c r="G17" s="14" t="s">
        <v>75</v>
      </c>
      <c r="H17" s="14" t="s">
        <v>45</v>
      </c>
      <c r="I17" s="14" t="s">
        <v>77</v>
      </c>
      <c r="J17" s="14" t="s">
        <v>47</v>
      </c>
      <c r="K17" s="14" t="s">
        <v>73</v>
      </c>
      <c r="L17" s="14" t="s">
        <v>78</v>
      </c>
      <c r="M17" s="14" t="s">
        <v>77</v>
      </c>
      <c r="N17" s="14" t="s">
        <v>47</v>
      </c>
      <c r="O17" s="14" t="s">
        <v>73</v>
      </c>
      <c r="P17" s="14" t="s">
        <v>78</v>
      </c>
    </row>
    <row r="18" spans="2:16" ht="18" customHeight="1" x14ac:dyDescent="0.25">
      <c r="B18" s="14" t="s">
        <v>28</v>
      </c>
      <c r="C18" s="36" t="s">
        <v>23</v>
      </c>
      <c r="D18" s="37"/>
      <c r="G18" s="14" t="s">
        <v>22</v>
      </c>
      <c r="H18" s="15">
        <f>'I32-I55'!T15</f>
        <v>0</v>
      </c>
      <c r="I18" s="18">
        <f>'I32-I55'!U15</f>
        <v>0</v>
      </c>
      <c r="J18" s="18">
        <f>'I32-I55'!V15</f>
        <v>0</v>
      </c>
      <c r="K18" s="19">
        <f>$C$13</f>
        <v>9</v>
      </c>
      <c r="L18" s="20">
        <f>J18*K18</f>
        <v>0</v>
      </c>
      <c r="M18" s="18">
        <f>'I32-I55'!W15</f>
        <v>0</v>
      </c>
      <c r="N18" s="18">
        <f>'I32-I55'!X15</f>
        <v>0</v>
      </c>
      <c r="O18" s="19">
        <f>C12</f>
        <v>374</v>
      </c>
      <c r="P18" s="20">
        <f>N18*O18</f>
        <v>0</v>
      </c>
    </row>
    <row r="19" spans="2:16" ht="18" customHeight="1" x14ac:dyDescent="0.25">
      <c r="B19" s="5"/>
      <c r="C19" s="10"/>
      <c r="G19" s="14" t="s">
        <v>23</v>
      </c>
      <c r="H19" s="15">
        <f>'I32-I55'!T16</f>
        <v>1</v>
      </c>
      <c r="I19" s="18">
        <f>'I32-I55'!U16</f>
        <v>6.7550818155574059E-3</v>
      </c>
      <c r="J19" s="18">
        <f>'I32-I55'!V16</f>
        <v>0.24395339874293206</v>
      </c>
      <c r="K19" s="19">
        <f>$C$13</f>
        <v>9</v>
      </c>
      <c r="L19" s="20">
        <f t="shared" ref="L19:L20" si="2">J19*K19</f>
        <v>2.1955805886863886</v>
      </c>
      <c r="M19" s="18">
        <f>'I32-I55'!W16</f>
        <v>2.6752460000000434E-3</v>
      </c>
      <c r="N19" s="18">
        <f>'I32-I55'!X16</f>
        <v>9.303048994370923E-2</v>
      </c>
      <c r="O19" s="19">
        <f>C11</f>
        <v>458</v>
      </c>
      <c r="P19" s="20">
        <f t="shared" ref="P19" si="3">N19*O19</f>
        <v>42.607964394218826</v>
      </c>
    </row>
    <row r="20" spans="2:16" ht="18" customHeight="1" x14ac:dyDescent="0.25">
      <c r="B20" s="38" t="s">
        <v>80</v>
      </c>
      <c r="C20" s="38"/>
      <c r="D20" s="38"/>
      <c r="G20" s="14" t="s">
        <v>40</v>
      </c>
      <c r="H20" s="15">
        <f>'I32-I55'!T17</f>
        <v>3</v>
      </c>
      <c r="I20" s="18">
        <f>'I32-I55'!U17</f>
        <v>6.669770073633877E-3</v>
      </c>
      <c r="J20" s="18">
        <f>'I32-I55'!V17</f>
        <v>0.24098204953534882</v>
      </c>
      <c r="K20" s="19">
        <f>$C$13</f>
        <v>9</v>
      </c>
      <c r="L20" s="20">
        <f t="shared" si="2"/>
        <v>2.1688384458181393</v>
      </c>
      <c r="M20" s="18">
        <f>'I32-I55'!W17</f>
        <v>0</v>
      </c>
      <c r="N20" s="18">
        <f>'I32-I55'!X17</f>
        <v>0</v>
      </c>
      <c r="O20" s="19" t="s">
        <v>68</v>
      </c>
      <c r="P20" s="20">
        <v>0</v>
      </c>
    </row>
    <row r="21" spans="2:16" ht="18" customHeight="1" x14ac:dyDescent="0.25">
      <c r="B21" s="14" t="s">
        <v>79</v>
      </c>
      <c r="C21" s="36">
        <v>3</v>
      </c>
      <c r="D21" s="37"/>
      <c r="G21" s="14" t="s">
        <v>76</v>
      </c>
      <c r="H21" s="15">
        <f>'I32-I55'!T18</f>
        <v>0</v>
      </c>
      <c r="I21" s="15" t="str">
        <f>'I32-I55'!U18</f>
        <v>-</v>
      </c>
      <c r="J21" s="15" t="str">
        <f>'I32-I55'!V18</f>
        <v>-</v>
      </c>
      <c r="K21" s="15" t="s">
        <v>68</v>
      </c>
      <c r="L21" s="15" t="s">
        <v>68</v>
      </c>
      <c r="M21" s="15" t="s">
        <v>68</v>
      </c>
      <c r="N21" s="15" t="s">
        <v>68</v>
      </c>
      <c r="O21" s="15" t="s">
        <v>68</v>
      </c>
      <c r="P21" s="15" t="s">
        <v>68</v>
      </c>
    </row>
    <row r="22" spans="2:16" ht="18" customHeight="1" x14ac:dyDescent="0.25">
      <c r="B22" s="1"/>
    </row>
    <row r="23" spans="2:16" ht="18" customHeight="1" x14ac:dyDescent="0.25">
      <c r="B23" s="30" t="s">
        <v>86</v>
      </c>
      <c r="C23" s="31"/>
      <c r="D23" s="32"/>
    </row>
    <row r="24" spans="2:16" ht="18" customHeight="1" x14ac:dyDescent="0.25">
      <c r="B24" s="14" t="s">
        <v>82</v>
      </c>
      <c r="C24" s="27">
        <v>150</v>
      </c>
      <c r="D24" s="15" t="s">
        <v>81</v>
      </c>
    </row>
    <row r="25" spans="2:16" ht="18" customHeight="1" x14ac:dyDescent="0.25">
      <c r="B25" s="14" t="s">
        <v>87</v>
      </c>
      <c r="C25" s="21">
        <f>C24-SUM(L9:L11)-MAX(P9:P11)</f>
        <v>109.07712017456967</v>
      </c>
      <c r="D25" s="15" t="s">
        <v>81</v>
      </c>
    </row>
    <row r="26" spans="2:16" ht="18" customHeight="1" x14ac:dyDescent="0.25">
      <c r="B26" s="14" t="s">
        <v>88</v>
      </c>
      <c r="C26" s="21">
        <f>C24-SUM(L18:L20)-MAX(P18:P20)</f>
        <v>103.02761657127665</v>
      </c>
      <c r="D26" s="15" t="s">
        <v>81</v>
      </c>
    </row>
    <row r="27" spans="2:16" ht="18" customHeight="1" x14ac:dyDescent="0.25"/>
    <row r="28" spans="2:16" ht="18" customHeight="1" x14ac:dyDescent="0.25">
      <c r="B28" s="28" t="s">
        <v>91</v>
      </c>
      <c r="C28" s="28"/>
      <c r="D28" s="28"/>
    </row>
    <row r="29" spans="2:16" ht="18" customHeight="1" x14ac:dyDescent="0.25">
      <c r="B29" s="22" t="s">
        <v>71</v>
      </c>
      <c r="C29" s="18">
        <f>SUM(J9:J11)</f>
        <v>0.42078328290427836</v>
      </c>
      <c r="D29" s="15" t="s">
        <v>92</v>
      </c>
    </row>
    <row r="30" spans="2:16" ht="18" customHeight="1" x14ac:dyDescent="0.25">
      <c r="B30" s="22" t="s">
        <v>72</v>
      </c>
      <c r="C30" s="18">
        <f>SUM(J18:J20)</f>
        <v>0.48493544827828089</v>
      </c>
      <c r="D30" s="15" t="s">
        <v>92</v>
      </c>
    </row>
    <row r="31" spans="2:16" ht="18" customHeight="1" x14ac:dyDescent="0.25"/>
  </sheetData>
  <sheetProtection algorithmName="SHA-512" hashValue="LDLomvUY5dR2uO3oz7SmDAC+F4pBySJLHxT7GcmIbB8NsFPkQ2eZNSDlhjtz9+9PPwSaIIjIzbcqheciEGYBWA==" saltValue="/NpfBP7DlLlj8WUY7P56OQ==" spinCount="100000" sheet="1" objects="1" scenarios="1" selectLockedCells="1"/>
  <mergeCells count="16">
    <mergeCell ref="B28:D28"/>
    <mergeCell ref="B1:P2"/>
    <mergeCell ref="B23:D23"/>
    <mergeCell ref="B4:D4"/>
    <mergeCell ref="C15:D15"/>
    <mergeCell ref="C18:D18"/>
    <mergeCell ref="C17:D17"/>
    <mergeCell ref="C16:D16"/>
    <mergeCell ref="C21:D21"/>
    <mergeCell ref="B20:D20"/>
    <mergeCell ref="I7:L7"/>
    <mergeCell ref="I16:L16"/>
    <mergeCell ref="M7:P7"/>
    <mergeCell ref="M16:P16"/>
    <mergeCell ref="I15:P15"/>
    <mergeCell ref="I6:P6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xWindow="312" yWindow="505" count="1">
        <x14:dataValidation type="list" allowBlank="1" showInputMessage="1" showErrorMessage="1" errorTitle="Invalid Entry" error="Please choose from the options in the list." promptTitle="What is the input tied to?" prompt="What rail is the input for this channel tied to?_x000a_V+      : positive supply rail_x000a_V-       : negative supply rail_x000a_Active : Input is anywhere in the normal working range">
          <x14:formula1>
            <xm:f>'I32-I55'!$S$6:$S$9</xm:f>
          </x14:formula1>
          <xm:sqref>C15:C18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1"/>
  <sheetViews>
    <sheetView workbookViewId="0">
      <selection activeCell="C16" sqref="C16:D16"/>
    </sheetView>
  </sheetViews>
  <sheetFormatPr defaultRowHeight="15" x14ac:dyDescent="0.25"/>
  <cols>
    <col min="2" max="2" width="13.7109375" style="8" bestFit="1" customWidth="1"/>
    <col min="3" max="3" width="11.42578125" style="1" customWidth="1"/>
    <col min="4" max="4" width="7" style="1" customWidth="1"/>
    <col min="7" max="7" width="13" customWidth="1"/>
    <col min="8" max="8" width="10.140625" customWidth="1"/>
    <col min="9" max="16" width="13.42578125" customWidth="1"/>
  </cols>
  <sheetData>
    <row r="1" spans="2:16" ht="18" customHeight="1" x14ac:dyDescent="0.25">
      <c r="B1" s="29" t="s">
        <v>137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2:16" ht="18" customHeight="1" x14ac:dyDescent="0.25"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2:16" ht="18" customHeight="1" x14ac:dyDescent="0.25"/>
    <row r="4" spans="2:16" ht="18" customHeight="1" x14ac:dyDescent="0.25">
      <c r="B4" s="33" t="s">
        <v>89</v>
      </c>
      <c r="C4" s="34"/>
      <c r="D4" s="35"/>
    </row>
    <row r="5" spans="2:16" ht="18" customHeight="1" x14ac:dyDescent="0.25"/>
    <row r="6" spans="2:16" ht="18" customHeight="1" x14ac:dyDescent="0.25">
      <c r="B6" s="14" t="s">
        <v>67</v>
      </c>
      <c r="C6" s="14" t="s">
        <v>65</v>
      </c>
      <c r="D6" s="14" t="s">
        <v>66</v>
      </c>
      <c r="G6" s="1"/>
      <c r="H6" s="1"/>
      <c r="I6" s="28" t="s">
        <v>71</v>
      </c>
      <c r="J6" s="28"/>
      <c r="K6" s="28"/>
      <c r="L6" s="28"/>
      <c r="M6" s="28"/>
      <c r="N6" s="28"/>
      <c r="O6" s="28"/>
      <c r="P6" s="28"/>
    </row>
    <row r="7" spans="2:16" ht="18" customHeight="1" x14ac:dyDescent="0.25">
      <c r="B7" s="14" t="s">
        <v>22</v>
      </c>
      <c r="C7" s="27">
        <v>18</v>
      </c>
      <c r="D7" s="15" t="s">
        <v>0</v>
      </c>
      <c r="G7" s="1"/>
      <c r="H7" s="1"/>
      <c r="I7" s="39" t="s">
        <v>69</v>
      </c>
      <c r="J7" s="39"/>
      <c r="K7" s="39"/>
      <c r="L7" s="39"/>
      <c r="M7" s="39" t="s">
        <v>70</v>
      </c>
      <c r="N7" s="39"/>
      <c r="O7" s="39"/>
      <c r="P7" s="39"/>
    </row>
    <row r="8" spans="2:16" ht="18" customHeight="1" x14ac:dyDescent="0.25">
      <c r="B8" s="14" t="s">
        <v>23</v>
      </c>
      <c r="C8" s="27">
        <v>-18</v>
      </c>
      <c r="D8" s="15" t="s">
        <v>0</v>
      </c>
      <c r="G8" s="14" t="s">
        <v>75</v>
      </c>
      <c r="H8" s="14" t="s">
        <v>45</v>
      </c>
      <c r="I8" s="14" t="s">
        <v>77</v>
      </c>
      <c r="J8" s="14" t="s">
        <v>47</v>
      </c>
      <c r="K8" s="14" t="s">
        <v>73</v>
      </c>
      <c r="L8" s="14" t="s">
        <v>78</v>
      </c>
      <c r="M8" s="14" t="s">
        <v>77</v>
      </c>
      <c r="N8" s="14" t="s">
        <v>47</v>
      </c>
      <c r="O8" s="14" t="s">
        <v>73</v>
      </c>
      <c r="P8" s="14" t="s">
        <v>78</v>
      </c>
    </row>
    <row r="9" spans="2:16" ht="18" customHeight="1" x14ac:dyDescent="0.25">
      <c r="B9" s="14" t="s">
        <v>24</v>
      </c>
      <c r="C9" s="15">
        <f>C7-C8</f>
        <v>36</v>
      </c>
      <c r="D9" s="15" t="s">
        <v>0</v>
      </c>
      <c r="G9" s="14" t="s">
        <v>22</v>
      </c>
      <c r="H9" s="15">
        <f>'Comparator Data'!AU28</f>
        <v>0</v>
      </c>
      <c r="I9" s="18">
        <f>'Comparator Data'!AV28</f>
        <v>0</v>
      </c>
      <c r="J9" s="18">
        <f>'Comparator Data'!AW28</f>
        <v>0</v>
      </c>
      <c r="K9" s="19">
        <f>$C$13</f>
        <v>9</v>
      </c>
      <c r="L9" s="20">
        <f>J9*K9</f>
        <v>0</v>
      </c>
      <c r="M9" s="18">
        <f>'Comparator Data'!AX28</f>
        <v>0</v>
      </c>
      <c r="N9" s="18">
        <f>'Comparator Data'!AY28</f>
        <v>0</v>
      </c>
      <c r="O9" s="19">
        <f>C12</f>
        <v>374</v>
      </c>
      <c r="P9" s="20">
        <f>N9*O9</f>
        <v>0</v>
      </c>
    </row>
    <row r="10" spans="2:16" ht="18" customHeight="1" x14ac:dyDescent="0.25">
      <c r="B10" s="25"/>
      <c r="G10" s="14" t="s">
        <v>23</v>
      </c>
      <c r="H10" s="15">
        <f>'Comparator Data'!AU29</f>
        <v>2</v>
      </c>
      <c r="I10" s="18">
        <f>'Comparator Data'!AV29</f>
        <v>9.0000000000000621E-2</v>
      </c>
      <c r="J10" s="18">
        <f>'Comparator Data'!AW29</f>
        <v>3.2631999999999768</v>
      </c>
      <c r="K10" s="19">
        <f>$C$13</f>
        <v>9</v>
      </c>
      <c r="L10" s="20">
        <f t="shared" ref="L10" si="0">J10*K10</f>
        <v>29.368799999999791</v>
      </c>
      <c r="M10" s="18">
        <f>'Comparator Data'!AX29</f>
        <v>1.3000000000464029E-5</v>
      </c>
      <c r="N10" s="18">
        <f>'Comparator Data'!AY29</f>
        <v>2.2589000000108883E-4</v>
      </c>
      <c r="O10" s="19">
        <f>C11</f>
        <v>458</v>
      </c>
      <c r="P10" s="20">
        <f t="shared" ref="P10" si="1">N10*O10</f>
        <v>0.10345762000049868</v>
      </c>
    </row>
    <row r="11" spans="2:16" ht="18" customHeight="1" x14ac:dyDescent="0.25">
      <c r="B11" s="14" t="s">
        <v>85</v>
      </c>
      <c r="C11" s="15">
        <v>458</v>
      </c>
      <c r="D11" s="15" t="s">
        <v>41</v>
      </c>
      <c r="G11" s="14" t="s">
        <v>76</v>
      </c>
      <c r="H11" s="15">
        <f>'Comparator Data'!AU30</f>
        <v>2</v>
      </c>
      <c r="I11" s="15" t="str">
        <f>'I32-I55'!U9</f>
        <v>-</v>
      </c>
      <c r="J11" s="15" t="str">
        <f>'I32-I55'!V9</f>
        <v>-</v>
      </c>
      <c r="K11" s="15" t="s">
        <v>68</v>
      </c>
      <c r="L11" s="15" t="s">
        <v>68</v>
      </c>
      <c r="M11" s="15" t="s">
        <v>68</v>
      </c>
      <c r="N11" s="15" t="s">
        <v>68</v>
      </c>
      <c r="O11" s="15" t="s">
        <v>68</v>
      </c>
      <c r="P11" s="15" t="s">
        <v>68</v>
      </c>
    </row>
    <row r="12" spans="2:16" ht="18" customHeight="1" x14ac:dyDescent="0.25">
      <c r="B12" s="14" t="s">
        <v>84</v>
      </c>
      <c r="C12" s="15">
        <v>374</v>
      </c>
      <c r="D12" s="15" t="s">
        <v>41</v>
      </c>
    </row>
    <row r="13" spans="2:16" ht="18" customHeight="1" x14ac:dyDescent="0.25">
      <c r="B13" s="14" t="s">
        <v>83</v>
      </c>
      <c r="C13" s="27">
        <v>9</v>
      </c>
      <c r="D13" s="15" t="s">
        <v>41</v>
      </c>
      <c r="G13" s="1"/>
      <c r="H13" s="1"/>
    </row>
    <row r="14" spans="2:16" ht="18" customHeight="1" x14ac:dyDescent="0.25">
      <c r="B14" s="1"/>
      <c r="G14" s="1"/>
      <c r="H14" s="1"/>
    </row>
    <row r="15" spans="2:16" ht="18" customHeight="1" x14ac:dyDescent="0.25">
      <c r="B15" s="14" t="s">
        <v>25</v>
      </c>
      <c r="C15" s="36" t="s">
        <v>23</v>
      </c>
      <c r="D15" s="37"/>
      <c r="G15" s="1"/>
      <c r="H15" s="1"/>
      <c r="I15" s="28" t="s">
        <v>72</v>
      </c>
      <c r="J15" s="28"/>
      <c r="K15" s="28"/>
      <c r="L15" s="28"/>
      <c r="M15" s="28"/>
      <c r="N15" s="28"/>
      <c r="O15" s="28"/>
      <c r="P15" s="28"/>
    </row>
    <row r="16" spans="2:16" ht="18" customHeight="1" x14ac:dyDescent="0.25">
      <c r="B16" s="14" t="s">
        <v>26</v>
      </c>
      <c r="C16" s="36" t="s">
        <v>23</v>
      </c>
      <c r="D16" s="37"/>
      <c r="G16" s="1"/>
      <c r="H16" s="1"/>
      <c r="I16" s="39" t="s">
        <v>69</v>
      </c>
      <c r="J16" s="39"/>
      <c r="K16" s="39"/>
      <c r="L16" s="39"/>
      <c r="M16" s="39" t="s">
        <v>70</v>
      </c>
      <c r="N16" s="39"/>
      <c r="O16" s="39"/>
      <c r="P16" s="39"/>
    </row>
    <row r="17" spans="2:16" ht="18" customHeight="1" x14ac:dyDescent="0.25">
      <c r="B17" s="14" t="s">
        <v>27</v>
      </c>
      <c r="C17" s="36" t="s">
        <v>74</v>
      </c>
      <c r="D17" s="37"/>
      <c r="G17" s="14" t="s">
        <v>75</v>
      </c>
      <c r="H17" s="14" t="s">
        <v>45</v>
      </c>
      <c r="I17" s="14" t="s">
        <v>77</v>
      </c>
      <c r="J17" s="14" t="s">
        <v>47</v>
      </c>
      <c r="K17" s="14" t="s">
        <v>73</v>
      </c>
      <c r="L17" s="14" t="s">
        <v>78</v>
      </c>
      <c r="M17" s="14" t="s">
        <v>77</v>
      </c>
      <c r="N17" s="14" t="s">
        <v>47</v>
      </c>
      <c r="O17" s="14" t="s">
        <v>73</v>
      </c>
      <c r="P17" s="14" t="s">
        <v>78</v>
      </c>
    </row>
    <row r="18" spans="2:16" ht="18" customHeight="1" x14ac:dyDescent="0.25">
      <c r="B18" s="14" t="s">
        <v>28</v>
      </c>
      <c r="C18" s="36" t="s">
        <v>74</v>
      </c>
      <c r="D18" s="37"/>
      <c r="G18" s="14" t="s">
        <v>22</v>
      </c>
      <c r="H18" s="15">
        <f>'Comparator Data'!AU36</f>
        <v>0</v>
      </c>
      <c r="I18" s="18">
        <f>'Comparator Data'!AV36</f>
        <v>0</v>
      </c>
      <c r="J18" s="18">
        <f>'Comparator Data'!AW36</f>
        <v>0</v>
      </c>
      <c r="K18" s="19">
        <f>$C$13</f>
        <v>9</v>
      </c>
      <c r="L18" s="20">
        <f>J18*K18</f>
        <v>0</v>
      </c>
      <c r="M18" s="18">
        <f>'Comparator Data'!AX36</f>
        <v>0</v>
      </c>
      <c r="N18" s="18">
        <f>'Comparator Data'!AY36</f>
        <v>0</v>
      </c>
      <c r="O18" s="19">
        <f>C12</f>
        <v>374</v>
      </c>
      <c r="P18" s="20">
        <f>N18*O18</f>
        <v>0</v>
      </c>
    </row>
    <row r="19" spans="2:16" ht="18" customHeight="1" x14ac:dyDescent="0.25">
      <c r="B19" s="25"/>
      <c r="C19" s="10"/>
      <c r="G19" s="14" t="s">
        <v>23</v>
      </c>
      <c r="H19" s="15">
        <f>'Comparator Data'!AU37</f>
        <v>2</v>
      </c>
      <c r="I19" s="18">
        <f>'Comparator Data'!AV37</f>
        <v>0.22192419788952911</v>
      </c>
      <c r="J19" s="18">
        <f>'Comparator Data'!AW37</f>
        <v>8.0121098199337499</v>
      </c>
      <c r="K19" s="19">
        <f>$C$13</f>
        <v>9</v>
      </c>
      <c r="L19" s="20">
        <f t="shared" ref="L19" si="2">J19*K19</f>
        <v>72.108988379403755</v>
      </c>
      <c r="M19" s="18">
        <f>'Comparator Data'!AX37</f>
        <v>3.5907274471649875E-4</v>
      </c>
      <c r="N19" s="18">
        <f>'Comparator Data'!AY37</f>
        <v>6.2487656485421261E-3</v>
      </c>
      <c r="O19" s="19">
        <f>C11</f>
        <v>458</v>
      </c>
      <c r="P19" s="20">
        <f t="shared" ref="P19" si="3">N19*O19</f>
        <v>2.8619346670322936</v>
      </c>
    </row>
    <row r="20" spans="2:16" ht="18" customHeight="1" x14ac:dyDescent="0.25">
      <c r="B20" s="38" t="s">
        <v>80</v>
      </c>
      <c r="C20" s="38"/>
      <c r="D20" s="38"/>
      <c r="G20" s="14" t="s">
        <v>76</v>
      </c>
      <c r="H20" s="15">
        <f>'Comparator Data'!AU38</f>
        <v>2</v>
      </c>
      <c r="I20" s="15" t="str">
        <f>'I32-I55'!U18</f>
        <v>-</v>
      </c>
      <c r="J20" s="15" t="str">
        <f>'I32-I55'!V18</f>
        <v>-</v>
      </c>
      <c r="K20" s="15" t="s">
        <v>68</v>
      </c>
      <c r="L20" s="15" t="s">
        <v>68</v>
      </c>
      <c r="M20" s="15" t="s">
        <v>68</v>
      </c>
      <c r="N20" s="15" t="s">
        <v>68</v>
      </c>
      <c r="O20" s="15" t="s">
        <v>68</v>
      </c>
      <c r="P20" s="15" t="s">
        <v>68</v>
      </c>
    </row>
    <row r="21" spans="2:16" ht="18" customHeight="1" x14ac:dyDescent="0.25">
      <c r="B21" s="14" t="s">
        <v>79</v>
      </c>
      <c r="C21" s="36">
        <v>6</v>
      </c>
      <c r="D21" s="37"/>
    </row>
    <row r="22" spans="2:16" ht="18" customHeight="1" x14ac:dyDescent="0.25">
      <c r="B22" s="1"/>
    </row>
    <row r="23" spans="2:16" ht="18" customHeight="1" x14ac:dyDescent="0.25">
      <c r="B23" s="30" t="s">
        <v>86</v>
      </c>
      <c r="C23" s="31"/>
      <c r="D23" s="32"/>
    </row>
    <row r="24" spans="2:16" ht="18" customHeight="1" x14ac:dyDescent="0.25">
      <c r="B24" s="14" t="s">
        <v>82</v>
      </c>
      <c r="C24" s="27">
        <v>150</v>
      </c>
      <c r="D24" s="15" t="s">
        <v>81</v>
      </c>
    </row>
    <row r="25" spans="2:16" ht="18" customHeight="1" x14ac:dyDescent="0.25">
      <c r="B25" s="14" t="s">
        <v>87</v>
      </c>
      <c r="C25" s="21">
        <f>C24-SUM(L9:L11)-MAX(P9:P11)</f>
        <v>120.52774237999971</v>
      </c>
      <c r="D25" s="15" t="s">
        <v>81</v>
      </c>
    </row>
    <row r="26" spans="2:16" ht="18" customHeight="1" x14ac:dyDescent="0.25">
      <c r="B26" s="14" t="s">
        <v>88</v>
      </c>
      <c r="C26" s="21">
        <f>C24-SUM(L18:L20)-MAX(P18:P20)</f>
        <v>75.029076953563958</v>
      </c>
      <c r="D26" s="15" t="s">
        <v>81</v>
      </c>
    </row>
    <row r="27" spans="2:16" ht="18" customHeight="1" x14ac:dyDescent="0.25"/>
    <row r="28" spans="2:16" ht="18" customHeight="1" x14ac:dyDescent="0.25">
      <c r="B28" s="28" t="s">
        <v>91</v>
      </c>
      <c r="C28" s="28"/>
      <c r="D28" s="28"/>
    </row>
    <row r="29" spans="2:16" ht="18" customHeight="1" x14ac:dyDescent="0.25">
      <c r="B29" s="24" t="s">
        <v>71</v>
      </c>
      <c r="C29" s="18">
        <f>SUM(J9:J11)</f>
        <v>3.2631999999999768</v>
      </c>
      <c r="D29" s="15" t="s">
        <v>92</v>
      </c>
    </row>
    <row r="30" spans="2:16" ht="18" customHeight="1" x14ac:dyDescent="0.25">
      <c r="B30" s="24" t="s">
        <v>72</v>
      </c>
      <c r="C30" s="18">
        <f>SUM(J18:J20)</f>
        <v>8.0121098199337499</v>
      </c>
      <c r="D30" s="15" t="s">
        <v>92</v>
      </c>
    </row>
    <row r="31" spans="2:16" ht="18" customHeight="1" x14ac:dyDescent="0.25"/>
  </sheetData>
  <sheetProtection algorithmName="SHA-512" hashValue="DCa/Gv4/fbTYM2zMgcJjhfaVHfb7d3OY8WO/NvMyfwnlA17g4Uqg8TvNbYSdV1/E8vI0t1hn48NV/2wyrQOoBw==" saltValue="G1rfN1nz6EHlrzTaUbPYmw==" spinCount="100000" sheet="1" objects="1" scenarios="1" selectLockedCells="1"/>
  <mergeCells count="16">
    <mergeCell ref="C21:D21"/>
    <mergeCell ref="B23:D23"/>
    <mergeCell ref="B28:D28"/>
    <mergeCell ref="C16:D16"/>
    <mergeCell ref="I16:L16"/>
    <mergeCell ref="M16:P16"/>
    <mergeCell ref="C17:D17"/>
    <mergeCell ref="C18:D18"/>
    <mergeCell ref="B20:D20"/>
    <mergeCell ref="B1:P2"/>
    <mergeCell ref="B4:D4"/>
    <mergeCell ref="I6:P6"/>
    <mergeCell ref="I7:L7"/>
    <mergeCell ref="M7:P7"/>
    <mergeCell ref="C15:D15"/>
    <mergeCell ref="I15:P1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322" yWindow="544" count="1">
        <x14:dataValidation type="list" allowBlank="1" showInputMessage="1" showErrorMessage="1" errorTitle="Invalid Entry" error="Please choose from the options in the list." promptTitle="What is the input tied to?" prompt="What rail is the input for this channel tied to?_x000a_V+      : positive supply rail_x000a_V-       : negative supply rail_x000a_Active : Input is anywhere in the normal working range">
          <x14:formula1>
            <xm:f>'Comparator Data'!$AT$28:$AT$30</xm:f>
          </x14:formula1>
          <xm:sqref>C15:D18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3"/>
  <sheetViews>
    <sheetView zoomScaleNormal="100" workbookViewId="0">
      <selection activeCell="R24" sqref="R24"/>
    </sheetView>
  </sheetViews>
  <sheetFormatPr defaultRowHeight="15" x14ac:dyDescent="0.25"/>
  <cols>
    <col min="2" max="8" width="13" style="1" customWidth="1"/>
    <col min="10" max="16" width="13" customWidth="1"/>
    <col min="19" max="20" width="12.85546875" style="1" customWidth="1"/>
    <col min="21" max="25" width="12.85546875" customWidth="1"/>
    <col min="26" max="27" width="12.42578125" customWidth="1"/>
    <col min="28" max="34" width="13" customWidth="1"/>
    <col min="35" max="35" width="13.140625" customWidth="1"/>
  </cols>
  <sheetData>
    <row r="1" spans="2:27" x14ac:dyDescent="0.25">
      <c r="C1" s="1" t="s">
        <v>35</v>
      </c>
      <c r="D1" s="1">
        <f>'Buffer Config Inputs'!C21</f>
        <v>3</v>
      </c>
    </row>
    <row r="2" spans="2:27" x14ac:dyDescent="0.25">
      <c r="C2" s="1" t="s">
        <v>43</v>
      </c>
      <c r="D2" s="1">
        <f>'Buffer Config Inputs'!C9</f>
        <v>36</v>
      </c>
    </row>
    <row r="3" spans="2:27" x14ac:dyDescent="0.25">
      <c r="U3" s="28" t="s">
        <v>71</v>
      </c>
      <c r="V3" s="28"/>
      <c r="W3" s="28"/>
      <c r="X3" s="28"/>
    </row>
    <row r="4" spans="2:27" x14ac:dyDescent="0.25">
      <c r="B4" s="40" t="s">
        <v>7</v>
      </c>
      <c r="C4" s="40"/>
      <c r="D4" s="40"/>
      <c r="E4" s="40"/>
      <c r="F4" s="40"/>
      <c r="G4" s="40"/>
      <c r="H4" s="40"/>
      <c r="J4" s="40" t="s">
        <v>12</v>
      </c>
      <c r="K4" s="40"/>
      <c r="L4" s="40"/>
      <c r="M4" s="40"/>
      <c r="N4" s="40"/>
      <c r="O4" s="40"/>
      <c r="P4" s="40"/>
      <c r="U4" s="28" t="s">
        <v>69</v>
      </c>
      <c r="V4" s="28"/>
      <c r="W4" s="28" t="s">
        <v>70</v>
      </c>
      <c r="X4" s="28"/>
    </row>
    <row r="5" spans="2:27" ht="18" x14ac:dyDescent="0.25">
      <c r="B5" s="2" t="s">
        <v>0</v>
      </c>
      <c r="C5" s="2" t="s">
        <v>1</v>
      </c>
      <c r="D5" s="2" t="s">
        <v>2</v>
      </c>
      <c r="E5" s="3" t="s">
        <v>5</v>
      </c>
      <c r="F5" s="2" t="s">
        <v>3</v>
      </c>
      <c r="G5" s="2" t="s">
        <v>4</v>
      </c>
      <c r="H5" s="2" t="s">
        <v>6</v>
      </c>
      <c r="J5" s="2" t="s">
        <v>0</v>
      </c>
      <c r="K5" s="2" t="s">
        <v>1</v>
      </c>
      <c r="L5" s="2" t="s">
        <v>2</v>
      </c>
      <c r="M5" s="3" t="s">
        <v>5</v>
      </c>
      <c r="N5" s="2" t="s">
        <v>3</v>
      </c>
      <c r="O5" s="2" t="s">
        <v>4</v>
      </c>
      <c r="P5" s="2" t="s">
        <v>6</v>
      </c>
      <c r="S5" s="5" t="s">
        <v>39</v>
      </c>
      <c r="T5" s="5" t="s">
        <v>45</v>
      </c>
      <c r="U5" s="5" t="s">
        <v>46</v>
      </c>
      <c r="V5" s="5" t="s">
        <v>47</v>
      </c>
      <c r="W5" s="5" t="s">
        <v>46</v>
      </c>
      <c r="X5" s="5" t="s">
        <v>47</v>
      </c>
      <c r="AA5" s="14" t="s">
        <v>90</v>
      </c>
    </row>
    <row r="6" spans="2:27" x14ac:dyDescent="0.25">
      <c r="B6" s="2">
        <v>5</v>
      </c>
      <c r="C6" s="4">
        <v>6.13407E-5</v>
      </c>
      <c r="D6" s="4">
        <v>3.1435000000000001E-6</v>
      </c>
      <c r="E6" s="1">
        <f>C6+(6*D6)</f>
        <v>8.0201700000000008E-5</v>
      </c>
      <c r="F6" s="4">
        <v>2.4475199999999999E-4</v>
      </c>
      <c r="G6" s="4">
        <v>1.2344000000000001E-5</v>
      </c>
      <c r="H6" s="4">
        <f>F6+($D$1*G6)</f>
        <v>2.8178399999999998E-4</v>
      </c>
      <c r="J6" s="2">
        <v>5</v>
      </c>
      <c r="K6" s="4">
        <v>9.4807200000000003E-5</v>
      </c>
      <c r="L6" s="4">
        <v>4.7872800000000002E-6</v>
      </c>
      <c r="M6" s="1">
        <f>K6+(6*L6)</f>
        <v>1.2353088000000001E-4</v>
      </c>
      <c r="N6" s="4">
        <v>3.7828599999999998E-4</v>
      </c>
      <c r="O6" s="4">
        <v>1.8810299999999998E-5</v>
      </c>
      <c r="P6" s="4">
        <f>N6+($D$1*O6)</f>
        <v>4.3471689999999996E-4</v>
      </c>
      <c r="S6" s="1" t="s">
        <v>22</v>
      </c>
      <c r="T6" s="1">
        <f>COUNTIF('Buffer Config Inputs'!$C$15:$C$18,S6)</f>
        <v>0</v>
      </c>
      <c r="U6" s="17">
        <f>$T$6*Amp!$Q$42</f>
        <v>0</v>
      </c>
      <c r="V6" s="17">
        <f>$T$6*Amp!$Q$46</f>
        <v>0</v>
      </c>
      <c r="W6" s="17">
        <f>IF(T6=0,0,$AH$43)</f>
        <v>0</v>
      </c>
      <c r="X6" s="17">
        <f>IF(T6=0,0,$AH$47)</f>
        <v>0</v>
      </c>
      <c r="AA6" s="1">
        <v>4.2</v>
      </c>
    </row>
    <row r="7" spans="2:27" x14ac:dyDescent="0.25">
      <c r="B7" s="2">
        <v>10</v>
      </c>
      <c r="C7" s="4">
        <v>6.4051899999999996E-5</v>
      </c>
      <c r="D7" s="4">
        <v>3.45353E-6</v>
      </c>
      <c r="E7" s="1">
        <f t="shared" ref="E7:E11" si="0">C7+(6*D7)</f>
        <v>8.4773079999999988E-5</v>
      </c>
      <c r="F7" s="4">
        <v>5.7554700000000004E-4</v>
      </c>
      <c r="G7" s="4">
        <v>3.08325E-5</v>
      </c>
      <c r="H7" s="4">
        <f t="shared" ref="H7:H11" si="1">F7+($D$1*G7)</f>
        <v>6.6804450000000008E-4</v>
      </c>
      <c r="J7" s="2">
        <v>10</v>
      </c>
      <c r="K7" s="4">
        <v>9.4935300000000006E-5</v>
      </c>
      <c r="L7" s="4">
        <v>4.8896099999999996E-6</v>
      </c>
      <c r="M7" s="1">
        <f t="shared" ref="M7:M11" si="2">K7+(6*L7)</f>
        <v>1.2427295999999999E-4</v>
      </c>
      <c r="N7" s="4">
        <v>8.5305400000000001E-4</v>
      </c>
      <c r="O7" s="4">
        <v>4.3635599999999999E-5</v>
      </c>
      <c r="P7" s="4">
        <f t="shared" ref="P7:P11" si="3">N7+($D$1*O7)</f>
        <v>9.8396079999999993E-4</v>
      </c>
      <c r="S7" s="1" t="s">
        <v>23</v>
      </c>
      <c r="T7" s="1">
        <f>COUNTIF('Buffer Config Inputs'!$C$15:$C$18,S7)</f>
        <v>1</v>
      </c>
      <c r="U7" s="17">
        <f>$T$7*Amp!$Q$33</f>
        <v>5.8842958548121797E-3</v>
      </c>
      <c r="V7" s="17">
        <f>$T$7*Amp!$Q$37</f>
        <v>0.21251860215391358</v>
      </c>
      <c r="W7" s="17">
        <f>IF(T7=0,0,$AH$33)</f>
        <v>2.329820000000031E-3</v>
      </c>
      <c r="X7" s="17">
        <f>IF(T7=0,0,$AH$37)</f>
        <v>8.1082598863082569E-2</v>
      </c>
      <c r="AA7" s="1">
        <v>10</v>
      </c>
    </row>
    <row r="8" spans="2:27" x14ac:dyDescent="0.25">
      <c r="B8" s="2">
        <v>15</v>
      </c>
      <c r="C8" s="4">
        <v>6.6451400000000006E-5</v>
      </c>
      <c r="D8" s="4">
        <v>3.7490699999999998E-6</v>
      </c>
      <c r="E8" s="1">
        <f t="shared" si="0"/>
        <v>8.8945819999999999E-5</v>
      </c>
      <c r="F8" s="4">
        <v>9.2911800000000004E-4</v>
      </c>
      <c r="G8" s="4">
        <v>5.2223299999999999E-5</v>
      </c>
      <c r="H8" s="4">
        <f t="shared" si="1"/>
        <v>1.0857879E-3</v>
      </c>
      <c r="J8" s="2">
        <v>15</v>
      </c>
      <c r="K8" s="4">
        <v>9.4675599999999999E-5</v>
      </c>
      <c r="L8" s="4">
        <v>4.9805300000000004E-6</v>
      </c>
      <c r="M8" s="1">
        <f t="shared" si="2"/>
        <v>1.2455878000000001E-4</v>
      </c>
      <c r="N8" s="4">
        <v>1.3237500000000001E-3</v>
      </c>
      <c r="O8" s="4">
        <v>6.9344400000000006E-5</v>
      </c>
      <c r="P8" s="4">
        <f t="shared" si="3"/>
        <v>1.5317832000000002E-3</v>
      </c>
      <c r="S8" s="1" t="s">
        <v>40</v>
      </c>
      <c r="T8" s="1">
        <f>COUNTIF('Buffer Config Inputs'!$C$15:$C$18,S8)</f>
        <v>3</v>
      </c>
      <c r="U8" s="17">
        <f>$T$8*Amp!$Q$6</f>
        <v>5.7656629050348365E-3</v>
      </c>
      <c r="V8" s="17">
        <f>$T$8*Amp!$Q$10</f>
        <v>0.20826468075036475</v>
      </c>
      <c r="W8" s="16">
        <v>0</v>
      </c>
      <c r="X8" s="16">
        <v>0</v>
      </c>
    </row>
    <row r="9" spans="2:27" x14ac:dyDescent="0.25">
      <c r="B9" s="2">
        <v>26</v>
      </c>
      <c r="C9" s="4">
        <v>7.1549699999999997E-5</v>
      </c>
      <c r="D9" s="4">
        <v>4.56255E-6</v>
      </c>
      <c r="E9" s="1">
        <f t="shared" si="0"/>
        <v>9.8925000000000006E-5</v>
      </c>
      <c r="F9" s="4">
        <v>1.7869100000000001E-3</v>
      </c>
      <c r="G9" s="4">
        <v>1.13746E-4</v>
      </c>
      <c r="H9" s="4">
        <f t="shared" si="1"/>
        <v>2.1281479999999998E-3</v>
      </c>
      <c r="J9" s="2">
        <v>26</v>
      </c>
      <c r="K9" s="4">
        <v>9.3896500000000005E-5</v>
      </c>
      <c r="L9" s="4">
        <v>5.2054799999999998E-6</v>
      </c>
      <c r="M9" s="1">
        <f t="shared" si="2"/>
        <v>1.2512938E-4</v>
      </c>
      <c r="N9" s="4">
        <v>2.3450099999999998E-3</v>
      </c>
      <c r="O9" s="4">
        <v>1.2973600000000001E-4</v>
      </c>
      <c r="P9" s="4">
        <f t="shared" si="3"/>
        <v>2.7342180000000001E-3</v>
      </c>
      <c r="S9" s="1" t="s">
        <v>74</v>
      </c>
      <c r="T9" s="1">
        <f>COUNTIF('Buffer Config Inputs'!$C$15:$C$18,S9)</f>
        <v>0</v>
      </c>
      <c r="U9" s="1" t="s">
        <v>68</v>
      </c>
      <c r="V9" s="1" t="s">
        <v>68</v>
      </c>
      <c r="W9" s="1" t="s">
        <v>68</v>
      </c>
      <c r="X9" s="1" t="s">
        <v>68</v>
      </c>
    </row>
    <row r="10" spans="2:27" x14ac:dyDescent="0.25">
      <c r="B10" s="2">
        <v>30</v>
      </c>
      <c r="C10" s="4">
        <v>7.3442799999999994E-5</v>
      </c>
      <c r="D10" s="4">
        <v>4.9113099999999997E-6</v>
      </c>
      <c r="E10" s="1">
        <f t="shared" si="0"/>
        <v>1.0291065999999999E-4</v>
      </c>
      <c r="F10" s="4">
        <v>2.1277599999999998E-3</v>
      </c>
      <c r="G10" s="4">
        <v>1.4207999999999999E-4</v>
      </c>
      <c r="H10" s="4">
        <f t="shared" si="1"/>
        <v>2.5539999999999998E-3</v>
      </c>
      <c r="J10" s="2">
        <v>30</v>
      </c>
      <c r="K10" s="4">
        <v>9.3539899999999995E-5</v>
      </c>
      <c r="L10" s="4">
        <v>5.3032600000000003E-6</v>
      </c>
      <c r="M10" s="1">
        <f t="shared" si="2"/>
        <v>1.2535946E-4</v>
      </c>
      <c r="N10" s="4">
        <v>2.7100100000000001E-3</v>
      </c>
      <c r="O10" s="4">
        <v>1.5339100000000001E-4</v>
      </c>
      <c r="P10" s="4">
        <f t="shared" si="3"/>
        <v>3.170183E-3</v>
      </c>
    </row>
    <row r="11" spans="2:27" x14ac:dyDescent="0.25">
      <c r="B11" s="2">
        <v>36</v>
      </c>
      <c r="C11" s="4">
        <v>7.6376600000000003E-5</v>
      </c>
      <c r="D11" s="4">
        <v>5.4962099999999998E-6</v>
      </c>
      <c r="E11" s="1">
        <f t="shared" si="0"/>
        <v>1.0935386E-4</v>
      </c>
      <c r="F11" s="4">
        <v>2.6707100000000002E-3</v>
      </c>
      <c r="G11" s="4">
        <v>1.9196299999999999E-4</v>
      </c>
      <c r="H11" s="4">
        <f t="shared" si="1"/>
        <v>3.2465990000000002E-3</v>
      </c>
      <c r="J11" s="2">
        <v>36</v>
      </c>
      <c r="K11" s="4">
        <v>9.2965000000000002E-5</v>
      </c>
      <c r="L11" s="4">
        <v>5.47512E-6</v>
      </c>
      <c r="M11" s="1">
        <f t="shared" si="2"/>
        <v>1.2581572000000001E-4</v>
      </c>
      <c r="N11" s="4">
        <v>3.25078E-3</v>
      </c>
      <c r="O11" s="4">
        <v>1.9122400000000001E-4</v>
      </c>
      <c r="P11" s="4">
        <f t="shared" si="3"/>
        <v>3.8244519999999999E-3</v>
      </c>
    </row>
    <row r="12" spans="2:27" x14ac:dyDescent="0.25">
      <c r="J12" s="1"/>
      <c r="K12" s="1"/>
      <c r="L12" s="1"/>
      <c r="M12" s="1"/>
      <c r="N12" s="1"/>
      <c r="O12" s="1"/>
      <c r="P12" s="1"/>
      <c r="U12" s="28" t="s">
        <v>72</v>
      </c>
      <c r="V12" s="28"/>
      <c r="W12" s="28"/>
      <c r="X12" s="28"/>
    </row>
    <row r="13" spans="2:27" x14ac:dyDescent="0.25">
      <c r="B13" s="40" t="s">
        <v>8</v>
      </c>
      <c r="C13" s="40"/>
      <c r="D13" s="40"/>
      <c r="E13" s="40"/>
      <c r="F13" s="40"/>
      <c r="G13" s="40"/>
      <c r="H13" s="40"/>
      <c r="J13" s="40" t="s">
        <v>13</v>
      </c>
      <c r="K13" s="40"/>
      <c r="L13" s="40"/>
      <c r="M13" s="40"/>
      <c r="N13" s="40"/>
      <c r="O13" s="40"/>
      <c r="P13" s="40"/>
      <c r="U13" s="28" t="s">
        <v>69</v>
      </c>
      <c r="V13" s="28"/>
      <c r="W13" s="28" t="s">
        <v>70</v>
      </c>
      <c r="X13" s="28"/>
    </row>
    <row r="14" spans="2:27" x14ac:dyDescent="0.25">
      <c r="B14" s="2" t="s">
        <v>0</v>
      </c>
      <c r="C14" s="2" t="s">
        <v>1</v>
      </c>
      <c r="D14" s="2" t="s">
        <v>2</v>
      </c>
      <c r="E14" s="3" t="s">
        <v>5</v>
      </c>
      <c r="F14" s="2" t="s">
        <v>3</v>
      </c>
      <c r="G14" s="2" t="s">
        <v>4</v>
      </c>
      <c r="H14" s="2" t="s">
        <v>6</v>
      </c>
      <c r="J14" s="2" t="s">
        <v>0</v>
      </c>
      <c r="K14" s="2" t="s">
        <v>1</v>
      </c>
      <c r="L14" s="2" t="s">
        <v>2</v>
      </c>
      <c r="M14" s="3" t="s">
        <v>5</v>
      </c>
      <c r="N14" s="2" t="s">
        <v>3</v>
      </c>
      <c r="O14" s="2" t="s">
        <v>4</v>
      </c>
      <c r="P14" s="2" t="s">
        <v>6</v>
      </c>
      <c r="S14" s="5" t="s">
        <v>39</v>
      </c>
      <c r="T14" s="5" t="s">
        <v>45</v>
      </c>
      <c r="U14" s="5" t="s">
        <v>46</v>
      </c>
      <c r="V14" s="5" t="s">
        <v>47</v>
      </c>
      <c r="W14" s="5" t="s">
        <v>46</v>
      </c>
      <c r="X14" s="5" t="s">
        <v>47</v>
      </c>
    </row>
    <row r="15" spans="2:27" x14ac:dyDescent="0.25">
      <c r="B15" s="2">
        <v>5</v>
      </c>
      <c r="C15" s="4">
        <v>6.2639199999999995E-5</v>
      </c>
      <c r="D15" s="4">
        <v>3.22328E-6</v>
      </c>
      <c r="E15" s="1">
        <f>C15+(6*D15)</f>
        <v>8.1978880000000001E-5</v>
      </c>
      <c r="F15" s="4">
        <v>2.4994900000000002E-4</v>
      </c>
      <c r="G15" s="4">
        <v>1.26691E-5</v>
      </c>
      <c r="H15" s="4">
        <f>F15+($D$1*G15)</f>
        <v>2.8795630000000001E-4</v>
      </c>
      <c r="J15" s="2">
        <v>5</v>
      </c>
      <c r="K15" s="4">
        <v>9.3495500000000006E-5</v>
      </c>
      <c r="L15" s="4">
        <v>4.7481299999999999E-6</v>
      </c>
      <c r="M15" s="1">
        <f>K15+(6*L15)</f>
        <v>1.2198428000000001E-4</v>
      </c>
      <c r="N15" s="4">
        <v>3.7307600000000002E-4</v>
      </c>
      <c r="O15" s="4">
        <v>1.86519E-5</v>
      </c>
      <c r="P15" s="4">
        <f>N15+($D$1*O15)</f>
        <v>4.2903169999999999E-4</v>
      </c>
      <c r="S15" s="1" t="s">
        <v>22</v>
      </c>
      <c r="T15" s="1">
        <f>COUNTIF('Buffer Config Inputs'!$C$15:$C$18,S15)</f>
        <v>0</v>
      </c>
      <c r="U15" s="17">
        <f>$T$15*Amp!$X$42</f>
        <v>0</v>
      </c>
      <c r="V15" s="17">
        <f>$T$15*Amp!$X$46</f>
        <v>0</v>
      </c>
      <c r="W15" s="17">
        <f>IF(T15=0,0,$Y$43)</f>
        <v>0</v>
      </c>
      <c r="X15" s="17">
        <f>IF(T15=0,0,$Y$47)</f>
        <v>0</v>
      </c>
    </row>
    <row r="16" spans="2:27" x14ac:dyDescent="0.25">
      <c r="B16" s="2">
        <v>10</v>
      </c>
      <c r="C16" s="4">
        <v>6.7126399999999995E-5</v>
      </c>
      <c r="D16" s="4">
        <v>3.6812399999999998E-6</v>
      </c>
      <c r="E16" s="1">
        <f t="shared" ref="E16:E20" si="4">C16+(6*D16)</f>
        <v>8.9213839999999992E-5</v>
      </c>
      <c r="F16" s="4">
        <v>6.0320700000000003E-4</v>
      </c>
      <c r="G16" s="4">
        <v>3.2892000000000003E-5</v>
      </c>
      <c r="H16" s="4">
        <f t="shared" ref="H16:H20" si="5">F16+($D$1*G16)</f>
        <v>7.0188300000000004E-4</v>
      </c>
      <c r="J16" s="2">
        <v>10</v>
      </c>
      <c r="K16" s="4">
        <v>9.1831900000000004E-5</v>
      </c>
      <c r="L16" s="4">
        <v>4.80699E-6</v>
      </c>
      <c r="M16" s="1">
        <f t="shared" ref="M16:M20" si="6">K16+(6*L16)</f>
        <v>1.2067384000000001E-4</v>
      </c>
      <c r="N16" s="4">
        <v>8.2521199999999997E-4</v>
      </c>
      <c r="O16" s="4">
        <v>4.2892500000000003E-5</v>
      </c>
      <c r="P16" s="4">
        <f t="shared" ref="P16:P20" si="7">N16+($D$1*O16)</f>
        <v>9.5388950000000004E-4</v>
      </c>
      <c r="S16" s="1" t="s">
        <v>23</v>
      </c>
      <c r="T16" s="1">
        <f>COUNTIF('Buffer Config Inputs'!$C$15:$C$18,S16)</f>
        <v>1</v>
      </c>
      <c r="U16" s="17">
        <f>$T$16*Amp!$X$33</f>
        <v>6.7550818155574059E-3</v>
      </c>
      <c r="V16" s="17">
        <f>$T$16*Amp!$X$37</f>
        <v>0.24395339874293206</v>
      </c>
      <c r="W16" s="17">
        <f>IF(T16=0,0,$Y$33)</f>
        <v>2.6752460000000434E-3</v>
      </c>
      <c r="X16" s="17">
        <f>IF(T16=0,0,$Y$37)</f>
        <v>9.303048994370923E-2</v>
      </c>
    </row>
    <row r="17" spans="2:34" x14ac:dyDescent="0.25">
      <c r="B17" s="2">
        <v>15</v>
      </c>
      <c r="C17" s="4">
        <v>7.1289299999999995E-5</v>
      </c>
      <c r="D17" s="4">
        <v>4.1593199999999998E-6</v>
      </c>
      <c r="E17" s="1">
        <f t="shared" si="4"/>
        <v>9.6245219999999999E-5</v>
      </c>
      <c r="F17" s="4">
        <v>9.9680800000000007E-4</v>
      </c>
      <c r="G17" s="4">
        <v>5.7975600000000001E-5</v>
      </c>
      <c r="H17" s="4">
        <f t="shared" si="5"/>
        <v>1.1707348000000002E-3</v>
      </c>
      <c r="J17" s="2">
        <v>15</v>
      </c>
      <c r="K17" s="4">
        <v>8.9802000000000005E-5</v>
      </c>
      <c r="L17" s="4">
        <v>4.8806899999999999E-6</v>
      </c>
      <c r="M17" s="1">
        <f t="shared" si="6"/>
        <v>1.1908614E-4</v>
      </c>
      <c r="N17" s="4">
        <v>1.25566E-3</v>
      </c>
      <c r="O17" s="4">
        <v>6.79537E-5</v>
      </c>
      <c r="P17" s="4">
        <f t="shared" si="7"/>
        <v>1.4595211000000001E-3</v>
      </c>
      <c r="S17" s="1" t="s">
        <v>40</v>
      </c>
      <c r="T17" s="1">
        <f>COUNTIF('Buffer Config Inputs'!$C$15:$C$18,S17)</f>
        <v>3</v>
      </c>
      <c r="U17" s="17">
        <f>$T$17*Amp!$X$6</f>
        <v>6.669770073633877E-3</v>
      </c>
      <c r="V17" s="17">
        <f>$T$17*Amp!$X$10</f>
        <v>0.24098204953534882</v>
      </c>
      <c r="W17" s="16">
        <v>0</v>
      </c>
      <c r="X17" s="16">
        <v>0</v>
      </c>
    </row>
    <row r="18" spans="2:34" x14ac:dyDescent="0.25">
      <c r="B18" s="2">
        <v>26</v>
      </c>
      <c r="C18" s="4">
        <v>8.0642800000000007E-5</v>
      </c>
      <c r="D18" s="4">
        <v>5.5203299999999999E-6</v>
      </c>
      <c r="E18" s="1">
        <f t="shared" si="4"/>
        <v>1.1376478E-4</v>
      </c>
      <c r="F18" s="4">
        <v>2.0140599999999998E-3</v>
      </c>
      <c r="G18" s="4">
        <v>1.3767200000000001E-4</v>
      </c>
      <c r="H18" s="4">
        <f t="shared" si="5"/>
        <v>2.4270759999999998E-3</v>
      </c>
      <c r="J18" s="2">
        <v>26</v>
      </c>
      <c r="K18" s="4">
        <v>8.4777200000000005E-5</v>
      </c>
      <c r="L18" s="4">
        <v>5.1626700000000002E-6</v>
      </c>
      <c r="M18" s="1">
        <f t="shared" si="6"/>
        <v>1.1575322E-4</v>
      </c>
      <c r="N18" s="4">
        <v>2.1173099999999999E-3</v>
      </c>
      <c r="O18" s="4">
        <v>1.28703E-4</v>
      </c>
      <c r="P18" s="4">
        <f t="shared" si="7"/>
        <v>2.5034189999999998E-3</v>
      </c>
      <c r="S18" s="1" t="s">
        <v>74</v>
      </c>
      <c r="T18" s="1">
        <f>COUNTIF('Buffer Config Inputs'!$C$15:$C$18,S18)</f>
        <v>0</v>
      </c>
      <c r="U18" s="1" t="s">
        <v>68</v>
      </c>
      <c r="V18" s="1" t="s">
        <v>68</v>
      </c>
      <c r="W18" s="1" t="s">
        <v>68</v>
      </c>
      <c r="X18" s="1" t="s">
        <v>68</v>
      </c>
    </row>
    <row r="19" spans="2:34" x14ac:dyDescent="0.25">
      <c r="B19" s="2">
        <v>30</v>
      </c>
      <c r="C19" s="4">
        <v>8.4274600000000001E-5</v>
      </c>
      <c r="D19" s="4">
        <v>6.1226599999999996E-6</v>
      </c>
      <c r="E19" s="1">
        <f t="shared" si="4"/>
        <v>1.2101055999999999E-4</v>
      </c>
      <c r="F19" s="4">
        <v>2.4416199999999998E-3</v>
      </c>
      <c r="G19" s="4">
        <v>1.77171E-4</v>
      </c>
      <c r="H19" s="4">
        <f t="shared" si="5"/>
        <v>2.9731329999999998E-3</v>
      </c>
      <c r="J19" s="2">
        <v>30</v>
      </c>
      <c r="K19" s="4">
        <v>8.2692699999999995E-5</v>
      </c>
      <c r="L19" s="4">
        <v>5.3304800000000003E-6</v>
      </c>
      <c r="M19" s="1">
        <f t="shared" si="6"/>
        <v>1.1467558E-4</v>
      </c>
      <c r="N19" s="4">
        <v>2.3957900000000001E-3</v>
      </c>
      <c r="O19" s="4">
        <v>1.5423300000000001E-4</v>
      </c>
      <c r="P19" s="4">
        <f t="shared" si="7"/>
        <v>2.8584890000000001E-3</v>
      </c>
    </row>
    <row r="20" spans="2:34" x14ac:dyDescent="0.25">
      <c r="B20" s="2">
        <v>36</v>
      </c>
      <c r="C20" s="4">
        <v>9.0056199999999993E-5</v>
      </c>
      <c r="D20" s="4">
        <v>7.1473899999999997E-6</v>
      </c>
      <c r="E20" s="1">
        <f t="shared" si="4"/>
        <v>1.3294053999999999E-4</v>
      </c>
      <c r="F20" s="4">
        <v>3.1490699999999999E-3</v>
      </c>
      <c r="G20" s="4">
        <v>2.4967000000000001E-4</v>
      </c>
      <c r="H20" s="4">
        <f t="shared" si="5"/>
        <v>3.8980799999999999E-3</v>
      </c>
      <c r="J20" s="2">
        <v>36</v>
      </c>
      <c r="K20" s="4">
        <v>7.9285300000000005E-5</v>
      </c>
      <c r="L20" s="4">
        <v>5.6728400000000004E-6</v>
      </c>
      <c r="M20" s="1">
        <f t="shared" si="6"/>
        <v>1.1332234000000001E-4</v>
      </c>
      <c r="N20" s="4">
        <v>2.7724400000000001E-3</v>
      </c>
      <c r="O20" s="4">
        <v>1.9822500000000001E-4</v>
      </c>
      <c r="P20" s="4">
        <f t="shared" si="7"/>
        <v>3.3671150000000004E-3</v>
      </c>
    </row>
    <row r="21" spans="2:34" x14ac:dyDescent="0.25">
      <c r="J21" s="1"/>
      <c r="K21" s="1"/>
      <c r="L21" s="1"/>
      <c r="M21" s="1"/>
      <c r="N21" s="1"/>
      <c r="O21" s="1"/>
      <c r="P21" s="1"/>
      <c r="Y21" s="9"/>
      <c r="AH21" s="9"/>
    </row>
    <row r="22" spans="2:34" x14ac:dyDescent="0.25">
      <c r="B22" s="40" t="s">
        <v>9</v>
      </c>
      <c r="C22" s="40"/>
      <c r="D22" s="40"/>
      <c r="E22" s="40"/>
      <c r="F22" s="40"/>
      <c r="G22" s="40"/>
      <c r="H22" s="40"/>
      <c r="J22" s="40" t="s">
        <v>14</v>
      </c>
      <c r="K22" s="40"/>
      <c r="L22" s="40"/>
      <c r="M22" s="40"/>
      <c r="N22" s="40"/>
      <c r="O22" s="40"/>
      <c r="P22" s="40"/>
    </row>
    <row r="23" spans="2:34" x14ac:dyDescent="0.25">
      <c r="B23" s="2" t="s">
        <v>0</v>
      </c>
      <c r="C23" s="2" t="s">
        <v>1</v>
      </c>
      <c r="D23" s="2" t="s">
        <v>2</v>
      </c>
      <c r="E23" s="3" t="s">
        <v>5</v>
      </c>
      <c r="F23" s="2" t="s">
        <v>3</v>
      </c>
      <c r="G23" s="2" t="s">
        <v>4</v>
      </c>
      <c r="H23" s="2" t="s">
        <v>6</v>
      </c>
      <c r="J23" s="2" t="s">
        <v>0</v>
      </c>
      <c r="K23" s="2" t="s">
        <v>1</v>
      </c>
      <c r="L23" s="2" t="s">
        <v>2</v>
      </c>
      <c r="M23" s="3" t="s">
        <v>5</v>
      </c>
      <c r="N23" s="2" t="s">
        <v>3</v>
      </c>
      <c r="O23" s="2" t="s">
        <v>4</v>
      </c>
      <c r="P23" s="2" t="s">
        <v>6</v>
      </c>
    </row>
    <row r="24" spans="2:34" x14ac:dyDescent="0.25">
      <c r="B24" s="2">
        <v>5</v>
      </c>
      <c r="C24" s="4">
        <v>5.9913300000000001E-5</v>
      </c>
      <c r="D24" s="4">
        <v>3.05695E-6</v>
      </c>
      <c r="E24" s="1">
        <f>C24+(6*D24)</f>
        <v>7.8255000000000002E-5</v>
      </c>
      <c r="F24" s="4">
        <v>2.39039E-4</v>
      </c>
      <c r="G24" s="4">
        <v>1.1991799999999999E-5</v>
      </c>
      <c r="H24" s="4">
        <f>F24+($D$1*G24)</f>
        <v>2.7501439999999999E-4</v>
      </c>
      <c r="J24" s="2">
        <v>5</v>
      </c>
      <c r="K24" s="4">
        <v>9.6267600000000006E-5</v>
      </c>
      <c r="L24" s="4">
        <v>4.8319399999999997E-6</v>
      </c>
      <c r="M24" s="1">
        <f>K24+(6*L24)</f>
        <v>1.2525924E-4</v>
      </c>
      <c r="N24" s="4">
        <v>3.8408499999999999E-4</v>
      </c>
      <c r="O24" s="4">
        <v>1.8989699999999999E-5</v>
      </c>
      <c r="P24" s="4">
        <f>N24+($D$1*O24)</f>
        <v>4.410541E-4</v>
      </c>
    </row>
    <row r="25" spans="2:34" x14ac:dyDescent="0.25">
      <c r="B25" s="2">
        <v>10</v>
      </c>
      <c r="C25" s="4">
        <v>6.0640000000000002E-5</v>
      </c>
      <c r="D25" s="4">
        <v>3.2095100000000002E-6</v>
      </c>
      <c r="E25" s="1">
        <f t="shared" ref="E25:E29" si="8">C25+(6*D25)</f>
        <v>7.9897060000000002E-5</v>
      </c>
      <c r="F25" s="4">
        <v>5.44847E-4</v>
      </c>
      <c r="G25" s="4">
        <v>2.8626E-5</v>
      </c>
      <c r="H25" s="4">
        <f t="shared" ref="H25:H29" si="9">F25+($D$1*G25)</f>
        <v>6.3072499999999995E-4</v>
      </c>
      <c r="J25" s="2">
        <v>10</v>
      </c>
      <c r="K25" s="4">
        <v>9.8416499999999995E-5</v>
      </c>
      <c r="L25" s="4">
        <v>4.9977700000000003E-6</v>
      </c>
      <c r="M25" s="1">
        <f t="shared" ref="M25:M29" si="10">K25+(6*L25)</f>
        <v>1.2840312000000001E-4</v>
      </c>
      <c r="N25" s="4">
        <v>8.8427000000000004E-4</v>
      </c>
      <c r="O25" s="4">
        <v>4.46062E-5</v>
      </c>
      <c r="P25" s="4">
        <f t="shared" ref="P25:P29" si="11">N25+($D$1*O25)</f>
        <v>1.0180886000000001E-3</v>
      </c>
    </row>
    <row r="26" spans="2:34" x14ac:dyDescent="0.25">
      <c r="B26" s="2">
        <v>15</v>
      </c>
      <c r="C26" s="4">
        <v>6.1131599999999996E-5</v>
      </c>
      <c r="D26" s="4">
        <v>3.3228300000000002E-6</v>
      </c>
      <c r="E26" s="1">
        <f t="shared" si="8"/>
        <v>8.106857999999999E-5</v>
      </c>
      <c r="F26" s="4">
        <v>8.5467599999999996E-4</v>
      </c>
      <c r="G26" s="4">
        <v>4.6245799999999997E-5</v>
      </c>
      <c r="H26" s="4">
        <f t="shared" si="9"/>
        <v>9.9341339999999998E-4</v>
      </c>
      <c r="J26" s="2">
        <v>15</v>
      </c>
      <c r="K26" s="4">
        <v>1.00097E-4</v>
      </c>
      <c r="L26" s="4">
        <v>5.1384499999999999E-6</v>
      </c>
      <c r="M26" s="1">
        <f t="shared" si="10"/>
        <v>1.309277E-4</v>
      </c>
      <c r="N26" s="4">
        <v>1.39945E-3</v>
      </c>
      <c r="O26" s="4">
        <v>7.1543299999999997E-5</v>
      </c>
      <c r="P26" s="4">
        <f t="shared" si="11"/>
        <v>1.6140798999999999E-3</v>
      </c>
    </row>
    <row r="27" spans="2:34" x14ac:dyDescent="0.25">
      <c r="B27" s="2">
        <v>26</v>
      </c>
      <c r="C27" s="4">
        <v>6.1896600000000006E-5</v>
      </c>
      <c r="D27" s="4">
        <v>3.6312000000000001E-6</v>
      </c>
      <c r="E27" s="1">
        <f t="shared" si="8"/>
        <v>8.3683800000000007E-5</v>
      </c>
      <c r="F27" s="4">
        <v>1.5457299999999999E-3</v>
      </c>
      <c r="G27" s="4">
        <v>9.04703E-5</v>
      </c>
      <c r="H27" s="4">
        <f t="shared" si="9"/>
        <v>1.8171408999999999E-3</v>
      </c>
      <c r="J27" s="2">
        <v>26</v>
      </c>
      <c r="K27" s="4">
        <v>1.0371500000000001E-4</v>
      </c>
      <c r="L27" s="4">
        <v>5.4659399999999999E-6</v>
      </c>
      <c r="M27" s="1">
        <f t="shared" si="10"/>
        <v>1.3651064E-4</v>
      </c>
      <c r="N27" s="4">
        <v>2.5900699999999999E-3</v>
      </c>
      <c r="O27" s="4">
        <v>1.36205E-4</v>
      </c>
      <c r="P27" s="4">
        <f t="shared" si="11"/>
        <v>2.9986850000000001E-3</v>
      </c>
    </row>
    <row r="28" spans="2:34" x14ac:dyDescent="0.25">
      <c r="B28" s="2">
        <v>30</v>
      </c>
      <c r="C28" s="4">
        <v>6.2100000000000005E-5</v>
      </c>
      <c r="D28" s="4">
        <v>3.7568000000000002E-6</v>
      </c>
      <c r="E28" s="1">
        <f t="shared" si="8"/>
        <v>8.4640800000000005E-5</v>
      </c>
      <c r="F28" s="4">
        <v>1.7990300000000001E-3</v>
      </c>
      <c r="G28" s="4">
        <v>1.08621E-4</v>
      </c>
      <c r="H28" s="4">
        <f t="shared" si="9"/>
        <v>2.1248930000000001E-3</v>
      </c>
      <c r="J28" s="2">
        <v>30</v>
      </c>
      <c r="K28" s="4">
        <v>1.05066E-4</v>
      </c>
      <c r="L28" s="4">
        <v>5.5940299999999997E-6</v>
      </c>
      <c r="M28" s="1">
        <f t="shared" si="10"/>
        <v>1.3863018E-4</v>
      </c>
      <c r="N28" s="4">
        <v>3.04376E-3</v>
      </c>
      <c r="O28" s="4">
        <v>1.6176299999999999E-4</v>
      </c>
      <c r="P28" s="4">
        <f t="shared" si="11"/>
        <v>3.5290489999999998E-3</v>
      </c>
      <c r="S28" s="28" t="s">
        <v>63</v>
      </c>
      <c r="T28" s="28"/>
      <c r="U28" s="28"/>
      <c r="V28" s="28"/>
      <c r="W28" s="28"/>
      <c r="X28" s="28"/>
      <c r="Y28" s="11"/>
      <c r="Z28" s="11"/>
      <c r="AA28" s="11"/>
      <c r="AB28" s="28" t="s">
        <v>42</v>
      </c>
      <c r="AC28" s="28"/>
      <c r="AD28" s="28"/>
      <c r="AE28" s="28"/>
      <c r="AF28" s="28"/>
      <c r="AG28" s="28"/>
      <c r="AH28" s="11"/>
    </row>
    <row r="29" spans="2:34" x14ac:dyDescent="0.25">
      <c r="B29" s="2">
        <v>36</v>
      </c>
      <c r="C29" s="4">
        <v>6.2322600000000005E-5</v>
      </c>
      <c r="D29" s="4">
        <v>3.9601399999999998E-6</v>
      </c>
      <c r="E29" s="1">
        <f t="shared" si="8"/>
        <v>8.6083440000000013E-5</v>
      </c>
      <c r="F29" s="4">
        <v>2.17914E-3</v>
      </c>
      <c r="G29" s="4">
        <v>1.3826100000000001E-4</v>
      </c>
      <c r="H29" s="4">
        <f t="shared" si="9"/>
        <v>2.5939230000000001E-3</v>
      </c>
      <c r="J29" s="2">
        <v>36</v>
      </c>
      <c r="K29" s="4">
        <v>1.07203E-4</v>
      </c>
      <c r="L29" s="4">
        <v>5.8006900000000004E-6</v>
      </c>
      <c r="M29" s="1">
        <f t="shared" si="10"/>
        <v>1.4200713999999999E-4</v>
      </c>
      <c r="N29" s="4">
        <v>3.7484200000000001E-3</v>
      </c>
      <c r="O29" s="4">
        <v>2.0252599999999999E-4</v>
      </c>
      <c r="P29" s="4">
        <f t="shared" si="11"/>
        <v>4.3559979999999998E-3</v>
      </c>
      <c r="S29" s="28"/>
      <c r="T29" s="28"/>
      <c r="U29" s="28"/>
      <c r="V29" s="28"/>
      <c r="W29" s="28"/>
      <c r="X29" s="28"/>
      <c r="Y29" s="11"/>
      <c r="Z29" s="11"/>
      <c r="AA29" s="11"/>
      <c r="AB29" s="28"/>
      <c r="AC29" s="28"/>
      <c r="AD29" s="28"/>
      <c r="AE29" s="28"/>
      <c r="AF29" s="28"/>
      <c r="AG29" s="28"/>
      <c r="AH29" s="11"/>
    </row>
    <row r="30" spans="2:34" x14ac:dyDescent="0.25">
      <c r="J30" s="1"/>
      <c r="K30" s="1"/>
      <c r="L30" s="1"/>
      <c r="M30" s="1"/>
      <c r="N30" s="1"/>
      <c r="O30" s="1"/>
      <c r="P30" s="1"/>
    </row>
    <row r="31" spans="2:34" x14ac:dyDescent="0.25">
      <c r="B31" s="40" t="s">
        <v>10</v>
      </c>
      <c r="C31" s="40"/>
      <c r="D31" s="40"/>
      <c r="E31" s="40"/>
      <c r="F31" s="40"/>
      <c r="G31" s="40"/>
      <c r="H31" s="40"/>
      <c r="J31" s="40" t="s">
        <v>15</v>
      </c>
      <c r="K31" s="40"/>
      <c r="L31" s="40"/>
      <c r="M31" s="40"/>
      <c r="N31" s="40"/>
      <c r="O31" s="40"/>
      <c r="P31" s="40"/>
      <c r="S31" s="28" t="s">
        <v>36</v>
      </c>
      <c r="T31" s="28"/>
      <c r="U31" s="28"/>
      <c r="V31" s="28"/>
      <c r="W31" s="28"/>
      <c r="X31" s="28"/>
      <c r="Y31" s="11"/>
      <c r="Z31" s="11"/>
      <c r="AA31" s="11"/>
      <c r="AB31" s="28" t="s">
        <v>36</v>
      </c>
      <c r="AC31" s="28"/>
      <c r="AD31" s="28"/>
      <c r="AE31" s="28"/>
      <c r="AF31" s="28"/>
      <c r="AG31" s="28"/>
      <c r="AH31" s="11"/>
    </row>
    <row r="32" spans="2:34" x14ac:dyDescent="0.25">
      <c r="B32" s="2" t="s">
        <v>0</v>
      </c>
      <c r="C32" s="2" t="s">
        <v>1</v>
      </c>
      <c r="D32" s="2" t="s">
        <v>2</v>
      </c>
      <c r="E32" s="3" t="s">
        <v>5</v>
      </c>
      <c r="F32" s="2" t="s">
        <v>3</v>
      </c>
      <c r="G32" s="2" t="s">
        <v>4</v>
      </c>
      <c r="H32" s="2" t="s">
        <v>6</v>
      </c>
      <c r="J32" s="2" t="s">
        <v>0</v>
      </c>
      <c r="K32" s="2" t="s">
        <v>1</v>
      </c>
      <c r="L32" s="2" t="s">
        <v>2</v>
      </c>
      <c r="M32" s="3" t="s">
        <v>5</v>
      </c>
      <c r="N32" s="2" t="s">
        <v>3</v>
      </c>
      <c r="O32" s="2" t="s">
        <v>4</v>
      </c>
      <c r="P32" s="2" t="s">
        <v>6</v>
      </c>
      <c r="S32" s="5" t="s">
        <v>29</v>
      </c>
      <c r="T32" s="5" t="s">
        <v>30</v>
      </c>
      <c r="U32" s="5" t="s">
        <v>31</v>
      </c>
      <c r="V32" s="5" t="s">
        <v>32</v>
      </c>
      <c r="W32" s="5" t="s">
        <v>33</v>
      </c>
      <c r="X32" s="5" t="s">
        <v>34</v>
      </c>
      <c r="Y32" s="5" t="s">
        <v>44</v>
      </c>
      <c r="Z32" s="5"/>
      <c r="AA32" s="5"/>
      <c r="AB32" s="5" t="s">
        <v>29</v>
      </c>
      <c r="AC32" s="5" t="s">
        <v>30</v>
      </c>
      <c r="AD32" s="5" t="s">
        <v>31</v>
      </c>
      <c r="AE32" s="5" t="s">
        <v>32</v>
      </c>
      <c r="AF32" s="5" t="s">
        <v>33</v>
      </c>
      <c r="AG32" s="5" t="s">
        <v>34</v>
      </c>
      <c r="AH32" s="5" t="s">
        <v>44</v>
      </c>
    </row>
    <row r="33" spans="2:34" x14ac:dyDescent="0.25">
      <c r="B33" s="2">
        <v>5</v>
      </c>
      <c r="C33" s="4">
        <v>1.5153E-3</v>
      </c>
      <c r="D33" s="4">
        <v>7.3930400000000006E-5</v>
      </c>
      <c r="E33" s="4">
        <f>C33+($D$1*D33)</f>
        <v>1.7370912000000001E-3</v>
      </c>
      <c r="F33" s="4">
        <v>5.92305E-3</v>
      </c>
      <c r="G33" s="4">
        <v>2.8290800000000001E-4</v>
      </c>
      <c r="H33" s="4">
        <f>F33+($D$1*G33)</f>
        <v>6.7717740000000004E-3</v>
      </c>
      <c r="J33" s="2">
        <v>5</v>
      </c>
      <c r="K33" s="4">
        <v>7.55351E-8</v>
      </c>
      <c r="L33" s="4">
        <v>1.95366E-8</v>
      </c>
      <c r="M33" s="4">
        <f>K33+($D$1*L33)</f>
        <v>1.341449E-7</v>
      </c>
      <c r="N33" s="4">
        <v>2.9531600000000002E-7</v>
      </c>
      <c r="O33" s="4">
        <v>7.6583099999999997E-8</v>
      </c>
      <c r="P33" s="4">
        <f>N33+($D$1*O33)</f>
        <v>5.2506529999999997E-7</v>
      </c>
      <c r="S33" s="9">
        <f t="array" ref="S33:X33">LINEST($E$33:$E$38,$B$33:$B$38^{1,2,3,4,5},TRUE,FALSE)</f>
        <v>4.1282561219244707E-10</v>
      </c>
      <c r="T33" s="9">
        <v>-4.9062593622575715E-8</v>
      </c>
      <c r="U33" s="9">
        <v>2.2499064144545217E-6</v>
      </c>
      <c r="V33" s="9">
        <v>-4.958069555669084E-5</v>
      </c>
      <c r="W33" s="9">
        <v>5.3805743762692405E-4</v>
      </c>
      <c r="X33" s="9">
        <v>3.4457139951818254E-5</v>
      </c>
      <c r="Y33" s="9">
        <f>($S$33*$D$2^5)+($T$33*$D$2^4)+($U$33*$D$2^3)+($V$33*$D$2^2)+($W$33*$D$2^1)+$X$33</f>
        <v>2.6752460000000434E-3</v>
      </c>
      <c r="Z33" s="9"/>
      <c r="AA33" s="9"/>
      <c r="AB33" s="9">
        <f t="array" ref="AB33:AG33">LINEST($C$33:$C$38,$B$33:$B$38^{1,2,3,4,5},TRUE,FALSE)</f>
        <v>3.1758508382297551E-10</v>
      </c>
      <c r="AC33" s="9">
        <v>-3.7780249026957189E-8</v>
      </c>
      <c r="AD33" s="9">
        <v>1.7357137800133803E-6</v>
      </c>
      <c r="AE33" s="9">
        <v>-3.8419189951561641E-5</v>
      </c>
      <c r="AF33" s="9">
        <v>4.2294669369755925E-4</v>
      </c>
      <c r="AG33" s="9">
        <v>1.6670226005445141E-4</v>
      </c>
      <c r="AH33" s="9">
        <f>($AB$33*$D$2^5)+($AC$33*$D$2^4)+($AD$33*$D$2^3)+($AE$33*$D$2^2)+($AF$33*$D$2^1)+$AG$33</f>
        <v>2.329820000000031E-3</v>
      </c>
    </row>
    <row r="34" spans="2:34" x14ac:dyDescent="0.25">
      <c r="B34" s="2">
        <v>10</v>
      </c>
      <c r="C34" s="4">
        <v>1.94392E-3</v>
      </c>
      <c r="D34" s="4">
        <v>1.04535E-4</v>
      </c>
      <c r="E34" s="4">
        <f t="shared" ref="E34:E38" si="12">C34+($D$1*D34)</f>
        <v>2.2575249999999998E-3</v>
      </c>
      <c r="F34" s="4">
        <v>1.7280400000000001E-2</v>
      </c>
      <c r="G34" s="4">
        <v>9.1453300000000003E-4</v>
      </c>
      <c r="H34" s="4">
        <f t="shared" ref="H34:H38" si="13">F34+($D$1*G34)</f>
        <v>2.0023999000000001E-2</v>
      </c>
      <c r="J34" s="2">
        <v>10</v>
      </c>
      <c r="K34" s="4">
        <v>3.1383499999999998E-8</v>
      </c>
      <c r="L34" s="4">
        <v>9.7480899999999996E-9</v>
      </c>
      <c r="M34" s="4">
        <f t="shared" ref="M34:M38" si="14">K34+($D$1*L34)</f>
        <v>6.0627769999999992E-8</v>
      </c>
      <c r="N34" s="4">
        <v>2.7905499999999998E-7</v>
      </c>
      <c r="O34" s="4">
        <v>8.6926200000000004E-8</v>
      </c>
      <c r="P34" s="4">
        <f t="shared" ref="P34:P38" si="15">N34+($D$1*O34)</f>
        <v>5.3983360000000002E-7</v>
      </c>
    </row>
    <row r="35" spans="2:34" x14ac:dyDescent="0.25">
      <c r="B35" s="2">
        <v>15</v>
      </c>
      <c r="C35" s="4">
        <v>2.0531600000000001E-3</v>
      </c>
      <c r="D35" s="4">
        <v>1.06544E-4</v>
      </c>
      <c r="E35" s="4">
        <f t="shared" si="12"/>
        <v>2.3727920000000003E-3</v>
      </c>
      <c r="F35" s="4">
        <v>2.8482199999999999E-2</v>
      </c>
      <c r="G35" s="4">
        <v>1.46097E-3</v>
      </c>
      <c r="H35" s="4">
        <f t="shared" si="13"/>
        <v>3.2865110000000003E-2</v>
      </c>
      <c r="J35" s="2">
        <v>15</v>
      </c>
      <c r="K35" s="4">
        <v>2.7295000000000001E-8</v>
      </c>
      <c r="L35" s="4">
        <v>7.7502100000000007E-9</v>
      </c>
      <c r="M35" s="4">
        <f t="shared" si="14"/>
        <v>5.0545630000000003E-8</v>
      </c>
      <c r="N35" s="4">
        <v>3.7870999999999998E-7</v>
      </c>
      <c r="O35" s="4">
        <v>1.0778399999999999E-7</v>
      </c>
      <c r="P35" s="4">
        <f t="shared" si="15"/>
        <v>7.0206200000000003E-7</v>
      </c>
      <c r="S35" s="40" t="s">
        <v>37</v>
      </c>
      <c r="T35" s="40"/>
      <c r="U35" s="40"/>
      <c r="V35" s="40"/>
      <c r="W35" s="40"/>
      <c r="X35" s="40"/>
      <c r="Y35" s="5"/>
      <c r="Z35" s="5"/>
      <c r="AA35" s="5"/>
      <c r="AB35" s="40" t="s">
        <v>37</v>
      </c>
      <c r="AC35" s="40"/>
      <c r="AD35" s="40"/>
      <c r="AE35" s="40"/>
      <c r="AF35" s="40"/>
      <c r="AG35" s="40"/>
      <c r="AH35" s="5"/>
    </row>
    <row r="36" spans="2:34" x14ac:dyDescent="0.25">
      <c r="B36" s="2">
        <v>26</v>
      </c>
      <c r="C36" s="4">
        <v>2.2075300000000001E-3</v>
      </c>
      <c r="D36" s="4">
        <v>1.09578E-4</v>
      </c>
      <c r="E36" s="4">
        <f t="shared" si="12"/>
        <v>2.5362639999999999E-3</v>
      </c>
      <c r="F36" s="4">
        <v>5.4828300000000003E-2</v>
      </c>
      <c r="G36" s="4">
        <v>2.70097E-3</v>
      </c>
      <c r="H36" s="4">
        <f t="shared" si="13"/>
        <v>6.2931210000000001E-2</v>
      </c>
      <c r="J36" s="2">
        <v>26</v>
      </c>
      <c r="K36" s="4">
        <v>2.4303299999999999E-8</v>
      </c>
      <c r="L36" s="4">
        <v>6.0133000000000003E-9</v>
      </c>
      <c r="M36" s="4">
        <f t="shared" si="14"/>
        <v>4.2343200000000002E-8</v>
      </c>
      <c r="N36" s="4">
        <v>6.0367099999999998E-7</v>
      </c>
      <c r="O36" s="4">
        <v>1.4957899999999999E-7</v>
      </c>
      <c r="P36" s="4">
        <f t="shared" si="15"/>
        <v>1.0524080000000001E-6</v>
      </c>
      <c r="S36" s="5"/>
      <c r="T36" s="5" t="s">
        <v>30</v>
      </c>
      <c r="U36" s="5" t="s">
        <v>31</v>
      </c>
      <c r="V36" s="5" t="s">
        <v>32</v>
      </c>
      <c r="W36" s="5" t="s">
        <v>33</v>
      </c>
      <c r="X36" s="5" t="s">
        <v>34</v>
      </c>
      <c r="Y36" s="5" t="s">
        <v>44</v>
      </c>
      <c r="Z36" s="5"/>
      <c r="AA36" s="5"/>
      <c r="AB36" s="5"/>
      <c r="AC36" s="5" t="s">
        <v>30</v>
      </c>
      <c r="AD36" s="5" t="s">
        <v>31</v>
      </c>
      <c r="AE36" s="5" t="s">
        <v>32</v>
      </c>
      <c r="AF36" s="5" t="s">
        <v>33</v>
      </c>
      <c r="AG36" s="5" t="s">
        <v>34</v>
      </c>
      <c r="AH36" s="5" t="s">
        <v>44</v>
      </c>
    </row>
    <row r="37" spans="2:34" x14ac:dyDescent="0.25">
      <c r="B37" s="2">
        <v>30</v>
      </c>
      <c r="C37" s="4">
        <v>2.25742E-3</v>
      </c>
      <c r="D37" s="4">
        <v>1.11523E-4</v>
      </c>
      <c r="E37" s="4">
        <f t="shared" si="12"/>
        <v>2.5919889999999998E-3</v>
      </c>
      <c r="F37" s="4">
        <v>6.5067899999999998E-2</v>
      </c>
      <c r="G37" s="4">
        <v>3.19258E-3</v>
      </c>
      <c r="H37" s="4">
        <f t="shared" si="13"/>
        <v>7.4645639999999999E-2</v>
      </c>
      <c r="J37" s="2">
        <v>30</v>
      </c>
      <c r="K37" s="4">
        <v>2.3541799999999999E-8</v>
      </c>
      <c r="L37" s="4">
        <v>5.6121200000000003E-9</v>
      </c>
      <c r="M37" s="4">
        <f t="shared" si="14"/>
        <v>4.0378160000000004E-8</v>
      </c>
      <c r="N37" s="4">
        <v>6.7861599999999997E-7</v>
      </c>
      <c r="O37" s="4">
        <v>1.6197499999999999E-7</v>
      </c>
      <c r="P37" s="4">
        <f t="shared" si="15"/>
        <v>1.1645409999999999E-6</v>
      </c>
      <c r="S37" s="9"/>
      <c r="T37" s="9">
        <f t="array" ref="T37:X37">LINEST($H$33:$H$38,$B$33:$B$38^{1,2,3,4},TRUE,FALSE)</f>
        <v>-1.7652543791074185E-8</v>
      </c>
      <c r="U37" s="9">
        <v>1.71430479839946E-6</v>
      </c>
      <c r="V37" s="9">
        <v>-4.6573337120999556E-5</v>
      </c>
      <c r="W37" s="9">
        <v>3.0747100016852583E-3</v>
      </c>
      <c r="X37" s="9">
        <v>-7.6331348900809774E-3</v>
      </c>
      <c r="Y37" s="9">
        <f>($T$37*$D$2^4)+($U$37*$D$2^3)+($V$37*$D$2^2)+($W$37*$D$2^1)+$X$37</f>
        <v>9.303048994370923E-2</v>
      </c>
      <c r="AB37" s="9"/>
      <c r="AC37" s="9">
        <f t="array" ref="AC37:AG37">LINEST($F$33:$F$38,$B$33:$B$38^{1,2,3,4},TRUE,FALSE)</f>
        <v>-1.2619102752265003E-8</v>
      </c>
      <c r="AD37" s="9">
        <v>1.198718221675272E-6</v>
      </c>
      <c r="AE37" s="9">
        <v>-2.9666490088229561E-5</v>
      </c>
      <c r="AF37" s="9">
        <v>2.5248336362163064E-3</v>
      </c>
      <c r="AG37" s="9">
        <v>-6.0957913484921012E-3</v>
      </c>
      <c r="AH37" s="9">
        <f>($AC$37*$D$2^4)+($AD$37*$D$2^3)+($AE$37*$D$2^2)+($AF$37*$D$2^1)+$AG$37</f>
        <v>8.1082598863082569E-2</v>
      </c>
    </row>
    <row r="38" spans="2:34" x14ac:dyDescent="0.25">
      <c r="B38" s="2">
        <v>36</v>
      </c>
      <c r="C38" s="4">
        <v>2.3298199999999998E-3</v>
      </c>
      <c r="D38" s="4">
        <v>1.15142E-4</v>
      </c>
      <c r="E38" s="4">
        <f t="shared" si="12"/>
        <v>2.675246E-3</v>
      </c>
      <c r="F38" s="4">
        <v>8.1087099999999995E-2</v>
      </c>
      <c r="G38" s="4">
        <v>3.9831500000000004E-3</v>
      </c>
      <c r="H38" s="4">
        <f t="shared" si="13"/>
        <v>9.3036549999999996E-2</v>
      </c>
      <c r="J38" s="2">
        <v>36</v>
      </c>
      <c r="K38" s="4">
        <v>2.2481800000000002E-8</v>
      </c>
      <c r="L38" s="4">
        <v>5.1456299999999997E-9</v>
      </c>
      <c r="M38" s="4">
        <f t="shared" si="14"/>
        <v>3.7918689999999997E-8</v>
      </c>
      <c r="N38" s="4">
        <v>7.8250000000000003E-7</v>
      </c>
      <c r="O38" s="4">
        <v>1.79281E-7</v>
      </c>
      <c r="P38" s="4">
        <f t="shared" si="15"/>
        <v>1.320343E-6</v>
      </c>
    </row>
    <row r="39" spans="2:34" x14ac:dyDescent="0.25">
      <c r="F39" s="4"/>
      <c r="J39" s="1"/>
      <c r="K39" s="1"/>
      <c r="L39" s="1"/>
      <c r="M39" s="1"/>
      <c r="N39" s="1"/>
      <c r="O39" s="1"/>
      <c r="P39" s="1"/>
    </row>
    <row r="40" spans="2:34" x14ac:dyDescent="0.25">
      <c r="B40" s="40" t="s">
        <v>11</v>
      </c>
      <c r="C40" s="40"/>
      <c r="D40" s="40"/>
      <c r="E40" s="40"/>
      <c r="F40" s="40"/>
      <c r="G40" s="40"/>
      <c r="H40" s="40"/>
      <c r="J40" s="40" t="s">
        <v>16</v>
      </c>
      <c r="K40" s="40"/>
      <c r="L40" s="40"/>
      <c r="M40" s="40"/>
      <c r="N40" s="40"/>
      <c r="O40" s="40"/>
      <c r="P40" s="40"/>
    </row>
    <row r="41" spans="2:34" x14ac:dyDescent="0.25">
      <c r="B41" s="2" t="s">
        <v>0</v>
      </c>
      <c r="C41" s="2" t="s">
        <v>1</v>
      </c>
      <c r="D41" s="2" t="s">
        <v>2</v>
      </c>
      <c r="E41" s="3" t="s">
        <v>5</v>
      </c>
      <c r="F41" s="2" t="s">
        <v>3</v>
      </c>
      <c r="G41" s="2" t="s">
        <v>4</v>
      </c>
      <c r="H41" s="2" t="s">
        <v>6</v>
      </c>
      <c r="J41" s="2" t="s">
        <v>0</v>
      </c>
      <c r="K41" s="2" t="s">
        <v>1</v>
      </c>
      <c r="L41" s="2" t="s">
        <v>2</v>
      </c>
      <c r="M41" s="3" t="s">
        <v>5</v>
      </c>
      <c r="N41" s="2" t="s">
        <v>3</v>
      </c>
      <c r="O41" s="2" t="s">
        <v>4</v>
      </c>
      <c r="P41" s="2" t="s">
        <v>6</v>
      </c>
      <c r="S41" s="28" t="s">
        <v>62</v>
      </c>
      <c r="T41" s="28"/>
      <c r="U41" s="28"/>
      <c r="V41" s="28"/>
      <c r="W41" s="28"/>
      <c r="X41" s="28"/>
      <c r="Y41" s="11"/>
      <c r="Z41" s="11"/>
      <c r="AA41" s="11"/>
      <c r="AB41" s="28" t="s">
        <v>64</v>
      </c>
      <c r="AC41" s="28"/>
      <c r="AD41" s="28"/>
      <c r="AE41" s="28"/>
      <c r="AF41" s="28"/>
      <c r="AG41" s="28"/>
      <c r="AH41" s="11"/>
    </row>
    <row r="42" spans="2:34" x14ac:dyDescent="0.25">
      <c r="B42" s="2">
        <v>5</v>
      </c>
      <c r="C42" s="4">
        <v>3.1359700000000001E-8</v>
      </c>
      <c r="D42" s="4">
        <v>8.2824500000000005E-9</v>
      </c>
      <c r="E42" s="4">
        <f>C42+($D$1*D42)</f>
        <v>5.6207050000000004E-8</v>
      </c>
      <c r="F42" s="4">
        <v>1.2139999999999999E-7</v>
      </c>
      <c r="G42" s="4">
        <v>3.2137700000000003E-8</v>
      </c>
      <c r="H42" s="4">
        <f>F42+($D$1*G42)</f>
        <v>2.1781309999999999E-7</v>
      </c>
      <c r="J42" s="2">
        <v>5</v>
      </c>
      <c r="K42" s="4">
        <v>1.8433E-3</v>
      </c>
      <c r="L42" s="4">
        <v>8.2160699999999994E-5</v>
      </c>
      <c r="M42" s="4">
        <f>K42+($D$1*L42)</f>
        <v>2.0897821000000001E-3</v>
      </c>
      <c r="N42" s="4">
        <v>7.1345499999999999E-3</v>
      </c>
      <c r="O42" s="4">
        <v>3.1231400000000001E-4</v>
      </c>
      <c r="P42" s="4">
        <f>N42+($D$1*O42)</f>
        <v>8.0714919999999996E-3</v>
      </c>
      <c r="S42" s="5" t="s">
        <v>29</v>
      </c>
      <c r="T42" s="5" t="s">
        <v>30</v>
      </c>
      <c r="U42" s="5" t="s">
        <v>31</v>
      </c>
      <c r="V42" s="5" t="s">
        <v>32</v>
      </c>
      <c r="W42" s="5" t="s">
        <v>33</v>
      </c>
      <c r="X42" s="5" t="s">
        <v>34</v>
      </c>
      <c r="Y42" s="5" t="s">
        <v>44</v>
      </c>
      <c r="Z42" s="5"/>
      <c r="AA42" s="5"/>
      <c r="AB42" s="5" t="s">
        <v>29</v>
      </c>
      <c r="AC42" s="5" t="s">
        <v>30</v>
      </c>
      <c r="AD42" s="5" t="s">
        <v>31</v>
      </c>
      <c r="AE42" s="5" t="s">
        <v>32</v>
      </c>
      <c r="AF42" s="5" t="s">
        <v>33</v>
      </c>
      <c r="AG42" s="5" t="s">
        <v>34</v>
      </c>
      <c r="AH42" s="5" t="s">
        <v>44</v>
      </c>
    </row>
    <row r="43" spans="2:34" x14ac:dyDescent="0.25">
      <c r="B43" s="2">
        <v>10</v>
      </c>
      <c r="C43" s="4">
        <v>1.34269E-8</v>
      </c>
      <c r="D43" s="4">
        <v>4.1436499999999999E-9</v>
      </c>
      <c r="E43" s="4">
        <f t="shared" ref="E43:E47" si="16">C43+($D$1*D43)</f>
        <v>2.5857849999999998E-8</v>
      </c>
      <c r="F43" s="4">
        <v>1.18722E-7</v>
      </c>
      <c r="G43" s="4">
        <v>3.6724200000000003E-8</v>
      </c>
      <c r="H43" s="4">
        <f t="shared" ref="H43:H47" si="17">F43+($D$1*G43)</f>
        <v>2.2889459999999999E-7</v>
      </c>
      <c r="J43" s="2">
        <v>10</v>
      </c>
      <c r="K43" s="4">
        <v>2.3635700000000002E-3</v>
      </c>
      <c r="L43" s="4">
        <v>1.12516E-4</v>
      </c>
      <c r="M43" s="4">
        <f t="shared" ref="M43:M47" si="18">K43+($D$1*L43)</f>
        <v>2.7011180000000002E-3</v>
      </c>
      <c r="N43" s="4">
        <v>2.08951E-2</v>
      </c>
      <c r="O43" s="4">
        <v>9.8169100000000003E-4</v>
      </c>
      <c r="P43" s="4">
        <f t="shared" ref="P43:P47" si="19">N43+($D$1*O43)</f>
        <v>2.3840172999999999E-2</v>
      </c>
      <c r="S43" s="9">
        <f t="array" ref="S43:X43">LINEST($M$42:$M$47,$J$42:$J$47^{1,2,3,4,5},TRUE,FALSE)</f>
        <v>5.0402890650565922E-10</v>
      </c>
      <c r="T43" s="9">
        <v>-5.9877335829615738E-8</v>
      </c>
      <c r="U43" s="9">
        <v>2.7440285048340504E-6</v>
      </c>
      <c r="V43" s="9">
        <v>-6.0416323449700338E-5</v>
      </c>
      <c r="W43" s="9">
        <v>6.508114880165311E-4</v>
      </c>
      <c r="X43" s="9">
        <v>3.8977427616243565E-5</v>
      </c>
      <c r="Y43" s="9">
        <f>($S$43*$D$2^5)+($T$43*$D$2^4)+($U$43*$D$2^3)+($V$43*$D$2^2)+($W$43*$D$2^1)+$X$43</f>
        <v>3.0997990000000419E-3</v>
      </c>
      <c r="Z43" s="9"/>
      <c r="AA43" s="9"/>
      <c r="AB43" s="9">
        <f t="array" ref="AB43:AG43">LINEST($K$42:$K$47,$J$42:$J$47^{1,2,3,4,5},TRUE,FALSE)</f>
        <v>4.1829664511114525E-10</v>
      </c>
      <c r="AC43" s="9">
        <v>-4.9687310180856536E-8</v>
      </c>
      <c r="AD43" s="9">
        <v>2.2776025797901959E-6</v>
      </c>
      <c r="AE43" s="9">
        <v>-5.0221545788170923E-5</v>
      </c>
      <c r="AF43" s="9">
        <v>5.4385594444935931E-4</v>
      </c>
      <c r="AG43" s="9">
        <v>1.2460599183073458E-4</v>
      </c>
      <c r="AH43" s="9">
        <f>($AB$43*$D$2^5)+($AC$43*$D$2^4)+($AD$43*$D$2^3)+($AE$43*$D$2^2)+($AF$43*$D$2^1)+$AG$43</f>
        <v>2.7173200000000499E-3</v>
      </c>
    </row>
    <row r="44" spans="2:34" x14ac:dyDescent="0.25">
      <c r="B44" s="2">
        <v>15</v>
      </c>
      <c r="C44" s="4">
        <v>1.2042E-8</v>
      </c>
      <c r="D44" s="4">
        <v>3.2737E-9</v>
      </c>
      <c r="E44" s="4">
        <f t="shared" si="16"/>
        <v>2.1863100000000001E-8</v>
      </c>
      <c r="F44" s="4">
        <v>1.6649400000000001E-7</v>
      </c>
      <c r="G44" s="4">
        <v>4.5351099999999999E-8</v>
      </c>
      <c r="H44" s="4">
        <f t="shared" si="17"/>
        <v>3.0254730000000002E-7</v>
      </c>
      <c r="J44" s="2">
        <v>15</v>
      </c>
      <c r="K44" s="4">
        <v>2.4717300000000001E-3</v>
      </c>
      <c r="L44" s="4">
        <v>1.161E-4</v>
      </c>
      <c r="M44" s="4">
        <f t="shared" si="18"/>
        <v>2.8200300000000003E-3</v>
      </c>
      <c r="N44" s="4">
        <v>3.4170600000000002E-2</v>
      </c>
      <c r="O44" s="4">
        <v>1.59023E-3</v>
      </c>
      <c r="P44" s="4">
        <f t="shared" si="19"/>
        <v>3.8941290000000003E-2</v>
      </c>
    </row>
    <row r="45" spans="2:34" x14ac:dyDescent="0.25">
      <c r="B45" s="2">
        <v>26</v>
      </c>
      <c r="C45" s="4">
        <v>1.13792E-8</v>
      </c>
      <c r="D45" s="4">
        <v>2.33294E-9</v>
      </c>
      <c r="E45" s="4">
        <f t="shared" si="16"/>
        <v>1.8378020000000001E-8</v>
      </c>
      <c r="F45" s="4">
        <v>2.8214499999999999E-7</v>
      </c>
      <c r="G45" s="4">
        <v>5.7934400000000003E-8</v>
      </c>
      <c r="H45" s="4">
        <f t="shared" si="17"/>
        <v>4.5594819999999999E-7</v>
      </c>
      <c r="J45" s="2">
        <v>26</v>
      </c>
      <c r="K45" s="4">
        <v>2.61027E-3</v>
      </c>
      <c r="L45" s="4">
        <v>1.21156E-4</v>
      </c>
      <c r="M45" s="4">
        <f t="shared" si="18"/>
        <v>2.9737380000000001E-3</v>
      </c>
      <c r="N45" s="4">
        <v>6.4717300000000005E-2</v>
      </c>
      <c r="O45" s="4">
        <v>2.9861200000000001E-3</v>
      </c>
      <c r="P45" s="4">
        <f t="shared" si="19"/>
        <v>7.3675660000000004E-2</v>
      </c>
      <c r="S45" s="40" t="s">
        <v>38</v>
      </c>
      <c r="T45" s="40"/>
      <c r="U45" s="40"/>
      <c r="V45" s="40"/>
      <c r="W45" s="40"/>
      <c r="X45" s="40"/>
      <c r="Y45" s="5"/>
      <c r="Z45" s="5"/>
      <c r="AA45" s="5"/>
      <c r="AB45" s="40" t="s">
        <v>38</v>
      </c>
      <c r="AC45" s="40"/>
      <c r="AD45" s="40"/>
      <c r="AE45" s="40"/>
      <c r="AF45" s="40"/>
      <c r="AG45" s="40"/>
      <c r="AH45" s="5"/>
    </row>
    <row r="46" spans="2:34" x14ac:dyDescent="0.25">
      <c r="B46" s="2">
        <v>30</v>
      </c>
      <c r="C46" s="4">
        <v>1.12537E-8</v>
      </c>
      <c r="D46" s="4">
        <v>2.1174700000000001E-9</v>
      </c>
      <c r="E46" s="4">
        <f t="shared" si="16"/>
        <v>1.7606110000000001E-8</v>
      </c>
      <c r="F46" s="4">
        <v>3.23918E-7</v>
      </c>
      <c r="G46" s="4">
        <v>6.1037700000000004E-8</v>
      </c>
      <c r="H46" s="4">
        <f t="shared" si="17"/>
        <v>5.0703110000000003E-7</v>
      </c>
      <c r="J46" s="2">
        <v>30</v>
      </c>
      <c r="K46" s="4">
        <v>2.6540499999999998E-3</v>
      </c>
      <c r="L46" s="4">
        <v>1.2353700000000001E-4</v>
      </c>
      <c r="M46" s="4">
        <f t="shared" si="18"/>
        <v>3.0246609999999997E-3</v>
      </c>
      <c r="N46" s="4">
        <v>7.6388200000000003E-2</v>
      </c>
      <c r="O46" s="4">
        <v>3.5366899999999999E-3</v>
      </c>
      <c r="P46" s="4">
        <f t="shared" si="19"/>
        <v>8.6998270000000003E-2</v>
      </c>
      <c r="S46" s="5"/>
      <c r="T46" s="5" t="s">
        <v>30</v>
      </c>
      <c r="U46" s="5" t="s">
        <v>31</v>
      </c>
      <c r="V46" s="5" t="s">
        <v>32</v>
      </c>
      <c r="W46" s="5" t="s">
        <v>33</v>
      </c>
      <c r="X46" s="5" t="s">
        <v>34</v>
      </c>
      <c r="Y46" s="5" t="s">
        <v>44</v>
      </c>
      <c r="Z46" s="5"/>
      <c r="AA46" s="5"/>
      <c r="AB46" s="5"/>
      <c r="AC46" s="5" t="s">
        <v>30</v>
      </c>
      <c r="AD46" s="5" t="s">
        <v>31</v>
      </c>
      <c r="AE46" s="5" t="s">
        <v>32</v>
      </c>
      <c r="AF46" s="5" t="s">
        <v>33</v>
      </c>
      <c r="AG46" s="5" t="s">
        <v>34</v>
      </c>
      <c r="AH46" s="5" t="s">
        <v>44</v>
      </c>
    </row>
    <row r="47" spans="2:34" x14ac:dyDescent="0.25">
      <c r="B47" s="2">
        <v>36</v>
      </c>
      <c r="C47" s="4">
        <v>1.10806E-8</v>
      </c>
      <c r="D47" s="4">
        <v>1.8686799999999998E-9</v>
      </c>
      <c r="E47" s="4">
        <f t="shared" si="16"/>
        <v>1.668664E-8</v>
      </c>
      <c r="F47" s="4">
        <v>3.8522099999999998E-7</v>
      </c>
      <c r="G47" s="4">
        <v>6.5057300000000001E-8</v>
      </c>
      <c r="H47" s="4">
        <f t="shared" si="17"/>
        <v>5.8039289999999996E-7</v>
      </c>
      <c r="J47" s="2">
        <v>36</v>
      </c>
      <c r="K47" s="4">
        <v>2.7173200000000001E-3</v>
      </c>
      <c r="L47" s="4">
        <v>1.2749300000000001E-4</v>
      </c>
      <c r="M47" s="4">
        <f t="shared" si="18"/>
        <v>3.0997990000000003E-3</v>
      </c>
      <c r="N47" s="4">
        <v>9.4464999999999993E-2</v>
      </c>
      <c r="O47" s="4">
        <v>4.4111899999999997E-3</v>
      </c>
      <c r="P47" s="4">
        <f t="shared" si="19"/>
        <v>0.10769856999999999</v>
      </c>
      <c r="S47" s="9"/>
      <c r="T47" s="9">
        <f t="array" ref="T47:X47">LINEST($P$42:$P$47,$J$42:$J$47^{1,2,3,4},TRUE,FALSE)</f>
        <v>-2.1226054754288353E-8</v>
      </c>
      <c r="U47" s="9">
        <v>2.0452446147945891E-6</v>
      </c>
      <c r="V47" s="9">
        <v>-5.8990270902965441E-5</v>
      </c>
      <c r="W47" s="9">
        <v>3.711563139051393E-3</v>
      </c>
      <c r="X47" s="9">
        <v>-9.2448889323637831E-3</v>
      </c>
      <c r="Y47" s="9">
        <f>($T$47*$D$2^4)+($U$47*$D$2^3)+($V$47*$D$2^2)+($W$47*$D$2^1)+$X$47</f>
        <v>0.10769130454892073</v>
      </c>
      <c r="AB47" s="9"/>
      <c r="AC47" s="9">
        <f t="array" ref="AC47:AG47">LINEST($N$42:$N$47,$B$33:$B$38^{1,2,3,4},TRUE,FALSE)</f>
        <v>-1.70034003548118E-8</v>
      </c>
      <c r="AD47" s="9">
        <v>1.6172388175821764E-6</v>
      </c>
      <c r="AE47" s="9">
        <v>-4.5511969147045729E-5</v>
      </c>
      <c r="AF47" s="9">
        <v>3.1761010075351238E-3</v>
      </c>
      <c r="AG47" s="9">
        <v>-7.7919955137104834E-3</v>
      </c>
      <c r="AH47" s="9">
        <f>($AC$47*$D$2^4)+($AD$47*$D$2^3)+($AE$47*$D$2^2)+($AF$47*$D$2^1)+$AG$47</f>
        <v>9.4458839725749144E-2</v>
      </c>
    </row>
    <row r="48" spans="2:34" x14ac:dyDescent="0.25">
      <c r="C48" s="7">
        <f>C33/Amp!C33</f>
        <v>0.38791779306955027</v>
      </c>
      <c r="K48" s="6">
        <f>K42/Amp!C42</f>
        <v>0.42271124095893742</v>
      </c>
    </row>
    <row r="49" spans="3:11" x14ac:dyDescent="0.25">
      <c r="C49" s="7">
        <f>C34/Amp!C34</f>
        <v>0.38146520850953602</v>
      </c>
      <c r="K49" s="6">
        <f>K43/Amp!C43</f>
        <v>0.42260489266672152</v>
      </c>
    </row>
    <row r="50" spans="3:11" x14ac:dyDescent="0.25">
      <c r="C50" s="7">
        <f>C35/Amp!C35</f>
        <v>0.38344856437437203</v>
      </c>
      <c r="K50" s="6">
        <f>K44/Amp!C44</f>
        <v>0.4235707210742598</v>
      </c>
    </row>
    <row r="51" spans="3:11" x14ac:dyDescent="0.25">
      <c r="C51" s="7">
        <f>C36/Amp!C36</f>
        <v>0.37278086524513704</v>
      </c>
      <c r="K51" s="6">
        <f>K45/Amp!C45</f>
        <v>0.41000722543352597</v>
      </c>
    </row>
    <row r="52" spans="3:11" x14ac:dyDescent="0.25">
      <c r="C52" s="7">
        <f>C37/Amp!C37</f>
        <v>0.39222029748987486</v>
      </c>
      <c r="K52" s="6">
        <f>K46/Amp!C46</f>
        <v>0.42746447795233228</v>
      </c>
    </row>
    <row r="53" spans="3:11" x14ac:dyDescent="0.25">
      <c r="C53" s="7">
        <f>C38/Amp!C38</f>
        <v>0.39462924005135658</v>
      </c>
      <c r="K53" s="6">
        <f>K47/Amp!C47</f>
        <v>0.42792306165964833</v>
      </c>
    </row>
  </sheetData>
  <mergeCells count="26">
    <mergeCell ref="U4:V4"/>
    <mergeCell ref="W4:X4"/>
    <mergeCell ref="U3:X3"/>
    <mergeCell ref="U12:X12"/>
    <mergeCell ref="U13:V13"/>
    <mergeCell ref="W13:X13"/>
    <mergeCell ref="AB28:AG29"/>
    <mergeCell ref="AB31:AG31"/>
    <mergeCell ref="AB35:AG35"/>
    <mergeCell ref="AB41:AG41"/>
    <mergeCell ref="AB45:AG45"/>
    <mergeCell ref="S31:X31"/>
    <mergeCell ref="S41:X41"/>
    <mergeCell ref="S35:X35"/>
    <mergeCell ref="S45:X45"/>
    <mergeCell ref="S28:X29"/>
    <mergeCell ref="B4:H4"/>
    <mergeCell ref="B13:H13"/>
    <mergeCell ref="B22:H22"/>
    <mergeCell ref="B31:H31"/>
    <mergeCell ref="B40:H40"/>
    <mergeCell ref="J4:P4"/>
    <mergeCell ref="J13:P13"/>
    <mergeCell ref="J22:P22"/>
    <mergeCell ref="J31:P31"/>
    <mergeCell ref="J40:P4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50"/>
  <sheetViews>
    <sheetView topLeftCell="A46" zoomScaleNormal="100" workbookViewId="0"/>
  </sheetViews>
  <sheetFormatPr defaultRowHeight="15" x14ac:dyDescent="0.25"/>
  <cols>
    <col min="2" max="8" width="13" customWidth="1"/>
    <col min="11" max="24" width="13" customWidth="1"/>
  </cols>
  <sheetData>
    <row r="1" spans="2:24" x14ac:dyDescent="0.25">
      <c r="C1" s="1" t="s">
        <v>35</v>
      </c>
      <c r="D1" s="1">
        <f>'Buffer Config Inputs'!C21</f>
        <v>3</v>
      </c>
    </row>
    <row r="2" spans="2:24" x14ac:dyDescent="0.25">
      <c r="C2" s="1" t="s">
        <v>43</v>
      </c>
      <c r="D2" s="1">
        <f>'Buffer Config Inputs'!C9</f>
        <v>36</v>
      </c>
    </row>
    <row r="4" spans="2:24" x14ac:dyDescent="0.25">
      <c r="B4" s="40" t="s">
        <v>17</v>
      </c>
      <c r="C4" s="40"/>
      <c r="D4" s="40"/>
      <c r="E4" s="40"/>
      <c r="F4" s="40"/>
      <c r="G4" s="40"/>
      <c r="H4" s="40"/>
      <c r="L4" s="28" t="s">
        <v>54</v>
      </c>
      <c r="M4" s="28"/>
      <c r="N4" s="28"/>
      <c r="O4" s="28"/>
      <c r="P4" s="28"/>
      <c r="Q4" s="28"/>
      <c r="S4" s="28" t="s">
        <v>56</v>
      </c>
      <c r="T4" s="28"/>
      <c r="U4" s="28"/>
      <c r="V4" s="28"/>
      <c r="W4" s="28"/>
      <c r="X4" s="28"/>
    </row>
    <row r="5" spans="2:24" x14ac:dyDescent="0.25">
      <c r="B5" s="2" t="s">
        <v>0</v>
      </c>
      <c r="C5" s="2" t="s">
        <v>1</v>
      </c>
      <c r="D5" s="2" t="s">
        <v>2</v>
      </c>
      <c r="E5" s="3" t="s">
        <v>5</v>
      </c>
      <c r="F5" s="2" t="s">
        <v>3</v>
      </c>
      <c r="G5" s="2" t="s">
        <v>4</v>
      </c>
      <c r="H5" s="2" t="s">
        <v>6</v>
      </c>
      <c r="L5" s="5" t="s">
        <v>30</v>
      </c>
      <c r="M5" s="5" t="s">
        <v>31</v>
      </c>
      <c r="N5" s="5" t="s">
        <v>32</v>
      </c>
      <c r="O5" s="5" t="s">
        <v>33</v>
      </c>
      <c r="P5" s="5" t="s">
        <v>34</v>
      </c>
      <c r="Q5" s="5" t="s">
        <v>44</v>
      </c>
      <c r="S5" s="5" t="s">
        <v>30</v>
      </c>
      <c r="T5" s="5" t="s">
        <v>31</v>
      </c>
      <c r="U5" s="5" t="s">
        <v>32</v>
      </c>
      <c r="V5" s="5" t="s">
        <v>33</v>
      </c>
      <c r="W5" s="5" t="s">
        <v>34</v>
      </c>
      <c r="X5" s="5" t="s">
        <v>44</v>
      </c>
    </row>
    <row r="6" spans="2:24" x14ac:dyDescent="0.25">
      <c r="B6" s="2">
        <v>5</v>
      </c>
      <c r="C6" s="4">
        <v>1.52769E-3</v>
      </c>
      <c r="D6" s="4">
        <v>6.6119500000000003E-5</v>
      </c>
      <c r="E6" s="13">
        <f>C6+($D$1*D6)</f>
        <v>1.7260484999999999E-3</v>
      </c>
      <c r="F6" s="4">
        <v>7.6384299999999999E-3</v>
      </c>
      <c r="G6" s="4">
        <v>3.3059799999999998E-4</v>
      </c>
      <c r="H6" s="13">
        <f>F6+($D$1*G6)</f>
        <v>8.6302239999999988E-3</v>
      </c>
      <c r="L6">
        <f t="array" ref="L6:P6">LINEST($C$6:$C$11,$B$6:$B$11^{1,2,3,4},TRUE,FALSE)</f>
        <v>3.8440851197375619E-9</v>
      </c>
      <c r="M6">
        <v>-3.3302285399844329E-7</v>
      </c>
      <c r="N6">
        <v>9.4049070314610783E-6</v>
      </c>
      <c r="O6">
        <v>-8.1478293333956512E-5</v>
      </c>
      <c r="P6">
        <v>1.7472740859387343E-3</v>
      </c>
      <c r="Q6">
        <f t="array" ref="Q6">($L$6*$D$2^4)+($M$6*$D$2^3)+($N$6*$D$2^2)+($O$6*$D$2^1)+$P$6</f>
        <v>1.9218876350116122E-3</v>
      </c>
      <c r="S6">
        <f t="array" ref="S6:W6">LINEST($E$6:$E$11,$B$33:$B$38^{1,2,3,4},TRUE,FALSE)</f>
        <v>4.8091456899169789E-9</v>
      </c>
      <c r="T6">
        <v>-4.1671941263454989E-7</v>
      </c>
      <c r="U6">
        <v>1.1816631243358088E-5</v>
      </c>
      <c r="V6">
        <v>-1.0373953981375175E-4</v>
      </c>
      <c r="W6">
        <v>2.0084689018762367E-3</v>
      </c>
      <c r="X6">
        <f>($S$6*$D$2^4)+($T$6*$D$2^3)+($U$6*$D$2^2)+($V$6*$D$2^1)+$W$6</f>
        <v>2.2232566912112925E-3</v>
      </c>
    </row>
    <row r="7" spans="2:24" x14ac:dyDescent="0.25">
      <c r="B7" s="2">
        <v>10</v>
      </c>
      <c r="C7" s="4">
        <v>1.61005E-3</v>
      </c>
      <c r="D7" s="4">
        <v>7.1131199999999994E-5</v>
      </c>
      <c r="E7" s="13">
        <f t="shared" ref="E7:E11" si="0">C7+($D$1*D7)</f>
        <v>1.8234435999999999E-3</v>
      </c>
      <c r="F7" s="4">
        <v>1.61005E-2</v>
      </c>
      <c r="G7" s="4">
        <v>7.1131199999999997E-4</v>
      </c>
      <c r="H7" s="13">
        <f t="shared" ref="H7:H11" si="1">F7+($D$1*G7)</f>
        <v>1.8234436E-2</v>
      </c>
    </row>
    <row r="8" spans="2:24" x14ac:dyDescent="0.25">
      <c r="B8" s="2">
        <v>15</v>
      </c>
      <c r="C8" s="4">
        <v>1.6738600000000001E-3</v>
      </c>
      <c r="D8" s="4">
        <v>7.5689400000000001E-5</v>
      </c>
      <c r="E8" s="13">
        <f t="shared" si="0"/>
        <v>1.9009282000000001E-3</v>
      </c>
      <c r="F8" s="4">
        <v>2.5107899999999999E-2</v>
      </c>
      <c r="G8" s="4">
        <v>1.1353400000000001E-3</v>
      </c>
      <c r="H8" s="13">
        <f t="shared" si="1"/>
        <v>2.8513919999999998E-2</v>
      </c>
      <c r="L8" s="28" t="s">
        <v>55</v>
      </c>
      <c r="M8" s="28"/>
      <c r="N8" s="28"/>
      <c r="O8" s="28"/>
      <c r="P8" s="28"/>
      <c r="Q8" s="28"/>
      <c r="S8" s="28" t="s">
        <v>57</v>
      </c>
      <c r="T8" s="28"/>
      <c r="U8" s="28"/>
      <c r="V8" s="28"/>
      <c r="W8" s="28"/>
      <c r="X8" s="28"/>
    </row>
    <row r="9" spans="2:24" x14ac:dyDescent="0.25">
      <c r="B9" s="2">
        <v>26</v>
      </c>
      <c r="C9" s="4">
        <v>1.9345300000000001E-3</v>
      </c>
      <c r="D9" s="4">
        <v>9.7832900000000003E-5</v>
      </c>
      <c r="E9" s="13">
        <f t="shared" si="0"/>
        <v>2.2280287000000002E-3</v>
      </c>
      <c r="F9" s="4">
        <v>4.6916699999999999E-2</v>
      </c>
      <c r="G9" s="4">
        <v>2.2690900000000001E-3</v>
      </c>
      <c r="H9" s="13">
        <f t="shared" si="1"/>
        <v>5.3723969999999996E-2</v>
      </c>
      <c r="L9" s="5" t="s">
        <v>30</v>
      </c>
      <c r="M9" s="5" t="s">
        <v>31</v>
      </c>
      <c r="N9" s="5" t="s">
        <v>32</v>
      </c>
      <c r="O9" s="5" t="s">
        <v>33</v>
      </c>
      <c r="P9" s="5" t="s">
        <v>34</v>
      </c>
      <c r="Q9" s="5" t="s">
        <v>44</v>
      </c>
      <c r="S9" s="5" t="s">
        <v>30</v>
      </c>
      <c r="T9" s="5" t="s">
        <v>31</v>
      </c>
      <c r="U9" s="5" t="s">
        <v>32</v>
      </c>
      <c r="V9" s="5" t="s">
        <v>33</v>
      </c>
      <c r="W9" s="5" t="s">
        <v>34</v>
      </c>
      <c r="X9" s="5" t="s">
        <v>44</v>
      </c>
    </row>
    <row r="10" spans="2:24" x14ac:dyDescent="0.25">
      <c r="B10" s="2">
        <v>30</v>
      </c>
      <c r="C10" s="4">
        <v>1.85286E-3</v>
      </c>
      <c r="D10" s="4">
        <v>9.2306999999999996E-5</v>
      </c>
      <c r="E10" s="13">
        <f t="shared" si="0"/>
        <v>2.1297809999999999E-3</v>
      </c>
      <c r="F10" s="4">
        <v>5.5585900000000001E-2</v>
      </c>
      <c r="G10" s="4">
        <v>2.7692099999999998E-3</v>
      </c>
      <c r="H10" s="13">
        <f t="shared" si="1"/>
        <v>6.3893530000000004E-2</v>
      </c>
      <c r="L10">
        <f t="array" ref="L10:P10">LINEST($F$6:$F$11,$B$33:$B$38^{1,2,3,4},TRUE,FALSE)</f>
        <v>1.0706056520985557E-9</v>
      </c>
      <c r="M10">
        <v>-3.8652933447376105E-8</v>
      </c>
      <c r="N10">
        <v>1.1376725273907556E-5</v>
      </c>
      <c r="O10">
        <v>1.5265938713211003E-3</v>
      </c>
      <c r="P10">
        <v>-2.7487019245660185E-4</v>
      </c>
      <c r="Q10">
        <f t="array" ref="Q10">($L$10*$D$2^4)+($M$10*$D$2^3)+($N$10*$D$2^2)+($O$10*$D$2^1)+$P$10</f>
        <v>6.9421560250121583E-2</v>
      </c>
      <c r="S10">
        <f t="array" ref="S10:W10">LINEST($H$6:$H$11,$B$33:$B$38^{1,2,3,4},TRUE,FALSE)</f>
        <v>1.5971913451369642E-9</v>
      </c>
      <c r="T10">
        <v>-3.0920646287918446E-8</v>
      </c>
      <c r="U10">
        <v>1.3441616997885655E-5</v>
      </c>
      <c r="V10">
        <v>1.7216098124570652E-3</v>
      </c>
      <c r="W10">
        <v>-3.1097349774232151E-4</v>
      </c>
      <c r="X10">
        <f>($S$10*$D$2^4)+($T$10*$D$2^3)+($U$10*$D$2^2)+($V$10*$D$2^1)+$W$10</f>
        <v>8.0327349845116275E-2</v>
      </c>
    </row>
    <row r="11" spans="2:24" x14ac:dyDescent="0.25">
      <c r="B11" s="2">
        <v>36</v>
      </c>
      <c r="C11" s="4">
        <v>1.92837E-3</v>
      </c>
      <c r="D11" s="4">
        <v>1.00981E-4</v>
      </c>
      <c r="E11" s="13">
        <f t="shared" si="0"/>
        <v>2.231313E-3</v>
      </c>
      <c r="F11" s="4">
        <v>6.9421499999999997E-2</v>
      </c>
      <c r="G11" s="4">
        <v>3.6352899999999998E-3</v>
      </c>
      <c r="H11" s="13">
        <f t="shared" si="1"/>
        <v>8.0327369999999995E-2</v>
      </c>
    </row>
    <row r="13" spans="2:24" x14ac:dyDescent="0.25">
      <c r="B13" s="40" t="s">
        <v>18</v>
      </c>
      <c r="C13" s="40"/>
      <c r="D13" s="40"/>
      <c r="E13" s="40"/>
      <c r="F13" s="40"/>
      <c r="G13" s="40"/>
      <c r="H13" s="40"/>
    </row>
    <row r="14" spans="2:24" x14ac:dyDescent="0.25">
      <c r="B14" s="2" t="s">
        <v>0</v>
      </c>
      <c r="C14" s="2" t="s">
        <v>1</v>
      </c>
      <c r="D14" s="2" t="s">
        <v>2</v>
      </c>
      <c r="E14" s="3" t="s">
        <v>5</v>
      </c>
      <c r="F14" s="2" t="s">
        <v>3</v>
      </c>
      <c r="G14" s="2" t="s">
        <v>4</v>
      </c>
      <c r="H14" s="2" t="s">
        <v>6</v>
      </c>
    </row>
    <row r="15" spans="2:24" x14ac:dyDescent="0.25">
      <c r="B15" s="2">
        <v>5</v>
      </c>
      <c r="C15" s="4">
        <v>1.52866E-3</v>
      </c>
      <c r="D15" s="4">
        <v>6.6095100000000004E-5</v>
      </c>
      <c r="E15" s="1">
        <f>C15+(6*D15)</f>
        <v>1.9252306000000002E-3</v>
      </c>
      <c r="F15" s="4">
        <v>7.6432699999999998E-3</v>
      </c>
      <c r="G15" s="4">
        <v>3.3047600000000001E-4</v>
      </c>
      <c r="H15" s="1">
        <f>F15+(6*G15)</f>
        <v>9.6261259999999987E-3</v>
      </c>
    </row>
    <row r="16" spans="2:24" x14ac:dyDescent="0.25">
      <c r="B16" s="2">
        <v>10</v>
      </c>
      <c r="C16" s="4">
        <v>1.6145700000000001E-3</v>
      </c>
      <c r="D16" s="4">
        <v>7.1488800000000006E-5</v>
      </c>
      <c r="E16" s="1">
        <f t="shared" ref="E16:E20" si="2">C16+(6*D16)</f>
        <v>2.0435028000000003E-3</v>
      </c>
      <c r="F16" s="4">
        <v>1.6145699999999999E-2</v>
      </c>
      <c r="G16" s="4">
        <v>7.14888E-4</v>
      </c>
      <c r="H16" s="1">
        <f t="shared" ref="H16:H20" si="3">F16+(6*G16)</f>
        <v>2.0435028000000001E-2</v>
      </c>
    </row>
    <row r="17" spans="2:24" x14ac:dyDescent="0.25">
      <c r="B17" s="2">
        <v>15</v>
      </c>
      <c r="C17" s="4">
        <v>1.68278E-3</v>
      </c>
      <c r="D17" s="4">
        <v>7.6665300000000006E-5</v>
      </c>
      <c r="E17" s="1">
        <f t="shared" si="2"/>
        <v>2.1427718000000002E-3</v>
      </c>
      <c r="F17" s="4">
        <v>2.5241699999999999E-2</v>
      </c>
      <c r="G17" s="4">
        <v>1.1499699999999999E-3</v>
      </c>
      <c r="H17" s="1">
        <f t="shared" si="3"/>
        <v>3.214152E-2</v>
      </c>
    </row>
    <row r="18" spans="2:24" x14ac:dyDescent="0.25">
      <c r="B18" s="2">
        <v>26</v>
      </c>
      <c r="C18" s="4">
        <v>1.9787799999999999E-3</v>
      </c>
      <c r="D18" s="4">
        <v>1.0833200000000001E-4</v>
      </c>
      <c r="E18" s="1">
        <f t="shared" si="2"/>
        <v>2.6287719999999997E-3</v>
      </c>
      <c r="F18" s="4">
        <v>4.7512400000000003E-2</v>
      </c>
      <c r="G18" s="4">
        <v>2.3756099999999998E-3</v>
      </c>
      <c r="H18" s="1">
        <f t="shared" si="3"/>
        <v>6.1766059999999998E-2</v>
      </c>
    </row>
    <row r="19" spans="2:24" x14ac:dyDescent="0.25">
      <c r="B19" s="2">
        <v>30</v>
      </c>
      <c r="C19" s="4">
        <v>1.8829300000000001E-3</v>
      </c>
      <c r="D19" s="4">
        <v>9.8401900000000004E-5</v>
      </c>
      <c r="E19" s="1">
        <f t="shared" si="2"/>
        <v>2.4733414000000001E-3</v>
      </c>
      <c r="F19" s="4">
        <v>5.6487900000000001E-2</v>
      </c>
      <c r="G19" s="4">
        <v>2.9520700000000002E-3</v>
      </c>
      <c r="H19" s="1">
        <f t="shared" si="3"/>
        <v>7.420032E-2</v>
      </c>
    </row>
    <row r="20" spans="2:24" x14ac:dyDescent="0.25">
      <c r="B20" s="2">
        <v>36</v>
      </c>
      <c r="C20" s="4">
        <v>1.9720800000000002E-3</v>
      </c>
      <c r="D20" s="4">
        <v>1.11377E-4</v>
      </c>
      <c r="E20" s="1">
        <f t="shared" si="2"/>
        <v>2.6403420000000004E-3</v>
      </c>
      <c r="F20" s="4">
        <v>7.0994699999999994E-2</v>
      </c>
      <c r="G20" s="4">
        <v>4.0095699999999996E-3</v>
      </c>
      <c r="H20" s="1">
        <f t="shared" si="3"/>
        <v>9.505211999999999E-2</v>
      </c>
    </row>
    <row r="21" spans="2:24" x14ac:dyDescent="0.25">
      <c r="B21" s="1"/>
      <c r="C21" s="1"/>
      <c r="D21" s="1"/>
      <c r="E21" s="1"/>
      <c r="F21" s="1"/>
      <c r="G21" s="1"/>
      <c r="H21" s="1"/>
    </row>
    <row r="22" spans="2:24" x14ac:dyDescent="0.25">
      <c r="B22" s="40" t="s">
        <v>19</v>
      </c>
      <c r="C22" s="40"/>
      <c r="D22" s="40"/>
      <c r="E22" s="40"/>
      <c r="F22" s="40"/>
      <c r="G22" s="40"/>
      <c r="H22" s="40"/>
    </row>
    <row r="23" spans="2:24" x14ac:dyDescent="0.25">
      <c r="B23" s="2" t="s">
        <v>0</v>
      </c>
      <c r="C23" s="2" t="s">
        <v>1</v>
      </c>
      <c r="D23" s="2" t="s">
        <v>2</v>
      </c>
      <c r="E23" s="3" t="s">
        <v>5</v>
      </c>
      <c r="F23" s="2" t="s">
        <v>3</v>
      </c>
      <c r="G23" s="2" t="s">
        <v>4</v>
      </c>
      <c r="H23" s="2" t="s">
        <v>6</v>
      </c>
    </row>
    <row r="24" spans="2:24" x14ac:dyDescent="0.25">
      <c r="B24" s="2">
        <v>5</v>
      </c>
      <c r="C24" s="4">
        <v>1.5937900000000001E-3</v>
      </c>
      <c r="D24" s="4">
        <v>6.8361800000000007E-5</v>
      </c>
      <c r="E24" s="1">
        <f>C24+(6*D24)</f>
        <v>2.0039608000000002E-3</v>
      </c>
      <c r="F24" s="4">
        <v>7.9689500000000007E-3</v>
      </c>
      <c r="G24" s="4">
        <v>3.4181000000000001E-4</v>
      </c>
      <c r="H24" s="1">
        <f>F24+(6*G24)</f>
        <v>1.0019810000000001E-2</v>
      </c>
    </row>
    <row r="25" spans="2:24" x14ac:dyDescent="0.25">
      <c r="B25" s="2">
        <v>10</v>
      </c>
      <c r="C25" s="4">
        <v>1.6715499999999999E-3</v>
      </c>
      <c r="D25" s="4">
        <v>7.3237600000000005E-5</v>
      </c>
      <c r="E25" s="1">
        <f t="shared" ref="E25:E29" si="4">C25+(6*D25)</f>
        <v>2.1109755999999999E-3</v>
      </c>
      <c r="F25" s="4">
        <v>1.6715500000000001E-2</v>
      </c>
      <c r="G25" s="4">
        <v>7.3237599999999997E-4</v>
      </c>
      <c r="H25" s="1">
        <f t="shared" ref="H25:H29" si="5">F25+(6*G25)</f>
        <v>2.1109756E-2</v>
      </c>
    </row>
    <row r="26" spans="2:24" x14ac:dyDescent="0.25">
      <c r="B26" s="2">
        <v>15</v>
      </c>
      <c r="C26" s="4">
        <v>1.72916E-3</v>
      </c>
      <c r="D26" s="4">
        <v>7.7226100000000002E-5</v>
      </c>
      <c r="E26" s="1">
        <f t="shared" si="4"/>
        <v>2.1925166E-3</v>
      </c>
      <c r="F26" s="4">
        <v>2.5937399999999999E-2</v>
      </c>
      <c r="G26" s="4">
        <v>1.1584E-3</v>
      </c>
      <c r="H26" s="1">
        <f t="shared" si="5"/>
        <v>3.2887800000000002E-2</v>
      </c>
    </row>
    <row r="27" spans="2:24" x14ac:dyDescent="0.25">
      <c r="B27" s="2">
        <v>26</v>
      </c>
      <c r="C27" s="4">
        <v>1.9613500000000002E-3</v>
      </c>
      <c r="D27" s="4">
        <v>9.3893699999999999E-5</v>
      </c>
      <c r="E27" s="1">
        <f t="shared" si="4"/>
        <v>2.5247122000000002E-3</v>
      </c>
      <c r="F27" s="4">
        <v>4.79874E-2</v>
      </c>
      <c r="G27" s="4">
        <v>2.2532899999999998E-3</v>
      </c>
      <c r="H27" s="1">
        <f t="shared" si="5"/>
        <v>6.1507140000000002E-2</v>
      </c>
    </row>
    <row r="28" spans="2:24" x14ac:dyDescent="0.25">
      <c r="B28" s="2">
        <v>30</v>
      </c>
      <c r="C28" s="4">
        <v>1.8885600000000001E-3</v>
      </c>
      <c r="D28" s="4">
        <v>9.0587200000000006E-5</v>
      </c>
      <c r="E28" s="1">
        <f t="shared" si="4"/>
        <v>2.4320831999999999E-3</v>
      </c>
      <c r="F28" s="4">
        <v>5.66568E-2</v>
      </c>
      <c r="G28" s="4">
        <v>2.7176100000000001E-3</v>
      </c>
      <c r="H28" s="1">
        <f t="shared" si="5"/>
        <v>7.2962460000000007E-2</v>
      </c>
    </row>
    <row r="29" spans="2:24" x14ac:dyDescent="0.25">
      <c r="B29" s="2">
        <v>36</v>
      </c>
      <c r="C29" s="4">
        <v>1.9555200000000001E-3</v>
      </c>
      <c r="D29" s="4">
        <v>9.71885E-5</v>
      </c>
      <c r="E29" s="1">
        <f t="shared" si="4"/>
        <v>2.5386510000000003E-3</v>
      </c>
      <c r="F29" s="4">
        <v>7.0398600000000006E-2</v>
      </c>
      <c r="G29" s="4">
        <v>3.4987799999999999E-3</v>
      </c>
      <c r="H29" s="1">
        <f t="shared" si="5"/>
        <v>9.1391280000000005E-2</v>
      </c>
    </row>
    <row r="30" spans="2:24" x14ac:dyDescent="0.25">
      <c r="B30" s="1"/>
      <c r="C30" s="1"/>
      <c r="D30" s="1"/>
      <c r="E30" s="1"/>
      <c r="F30" s="1"/>
      <c r="G30" s="1"/>
      <c r="H30" s="1"/>
    </row>
    <row r="31" spans="2:24" x14ac:dyDescent="0.25">
      <c r="B31" s="40" t="s">
        <v>20</v>
      </c>
      <c r="C31" s="40"/>
      <c r="D31" s="40"/>
      <c r="E31" s="40"/>
      <c r="F31" s="40"/>
      <c r="G31" s="40"/>
      <c r="H31" s="40"/>
      <c r="K31" s="12"/>
      <c r="L31" s="28" t="s">
        <v>50</v>
      </c>
      <c r="M31" s="28"/>
      <c r="N31" s="28"/>
      <c r="O31" s="28"/>
      <c r="P31" s="28"/>
      <c r="Q31" s="28"/>
      <c r="S31" s="28" t="s">
        <v>58</v>
      </c>
      <c r="T31" s="28"/>
      <c r="U31" s="28"/>
      <c r="V31" s="28"/>
      <c r="W31" s="28"/>
      <c r="X31" s="28"/>
    </row>
    <row r="32" spans="2:24" x14ac:dyDescent="0.25">
      <c r="B32" s="2" t="s">
        <v>0</v>
      </c>
      <c r="C32" s="2" t="s">
        <v>1</v>
      </c>
      <c r="D32" s="2" t="s">
        <v>2</v>
      </c>
      <c r="E32" s="3" t="s">
        <v>5</v>
      </c>
      <c r="F32" s="2" t="s">
        <v>3</v>
      </c>
      <c r="G32" s="2" t="s">
        <v>4</v>
      </c>
      <c r="H32" s="2" t="s">
        <v>6</v>
      </c>
      <c r="K32" s="5"/>
      <c r="L32" s="5" t="s">
        <v>30</v>
      </c>
      <c r="M32" s="5" t="s">
        <v>31</v>
      </c>
      <c r="N32" s="5" t="s">
        <v>32</v>
      </c>
      <c r="O32" s="5" t="s">
        <v>33</v>
      </c>
      <c r="P32" s="5" t="s">
        <v>34</v>
      </c>
      <c r="Q32" s="5" t="s">
        <v>44</v>
      </c>
      <c r="S32" s="5" t="s">
        <v>30</v>
      </c>
      <c r="T32" s="5" t="s">
        <v>31</v>
      </c>
      <c r="U32" s="5" t="s">
        <v>32</v>
      </c>
      <c r="V32" s="5" t="s">
        <v>33</v>
      </c>
      <c r="W32" s="5" t="s">
        <v>34</v>
      </c>
      <c r="X32" s="5" t="s">
        <v>44</v>
      </c>
    </row>
    <row r="33" spans="2:24" x14ac:dyDescent="0.25">
      <c r="B33" s="2">
        <v>5</v>
      </c>
      <c r="C33" s="4">
        <v>3.9062400000000001E-3</v>
      </c>
      <c r="D33" s="4">
        <v>1.8207E-4</v>
      </c>
      <c r="E33" s="13">
        <f>C33+($D$1*D33)</f>
        <v>4.4524500000000002E-3</v>
      </c>
      <c r="F33" s="4">
        <v>1.9531199999999999E-2</v>
      </c>
      <c r="G33" s="4">
        <v>9.1035900000000002E-4</v>
      </c>
      <c r="H33" s="13">
        <f>F33+($D$1*G33)</f>
        <v>2.2262276999999997E-2</v>
      </c>
      <c r="L33">
        <f t="array" ref="L33:P33">LINEST($C$33:$C$38,$B$33:$B$38^{1,2,3,4},TRUE,FALSE)</f>
        <v>-8.4008914328586418E-9</v>
      </c>
      <c r="M33">
        <v>8.5098534628163515E-7</v>
      </c>
      <c r="N33">
        <v>-3.2312875238914234E-5</v>
      </c>
      <c r="O33">
        <v>5.6552181000625102E-4</v>
      </c>
      <c r="P33">
        <v>1.8096963529963253E-3</v>
      </c>
      <c r="Q33">
        <f>($L$33*$D$2^4)+($M$33*$D$2^3)+($N$33*$D$2^2)+($O$33*$D$2^1)+$P$33</f>
        <v>5.8842958548121797E-3</v>
      </c>
      <c r="S33">
        <f t="array" ref="S33:W33">LINEST($E$33:$E$38,$B$33:$B$38^{1,2,3,4},TRUE,FALSE)</f>
        <v>-1.2985939885181895E-8</v>
      </c>
      <c r="T33">
        <v>1.2844577397938499E-6</v>
      </c>
      <c r="U33">
        <v>-4.6772565318685126E-5</v>
      </c>
      <c r="V33">
        <v>7.6642502015598869E-4</v>
      </c>
      <c r="W33">
        <v>1.6647578413255502E-3</v>
      </c>
      <c r="X33">
        <f>($S$33*$D$2^4)+($T$33*$D$2^3)+($U$33*$D$2^2)+($V$33*$D$2^1)+$W$33</f>
        <v>6.7550818155574059E-3</v>
      </c>
    </row>
    <row r="34" spans="2:24" x14ac:dyDescent="0.25">
      <c r="B34" s="2">
        <v>10</v>
      </c>
      <c r="C34" s="4">
        <v>5.0959300000000003E-3</v>
      </c>
      <c r="D34" s="4">
        <v>2.72747E-4</v>
      </c>
      <c r="E34" s="13">
        <f t="shared" ref="E34:E38" si="6">C34+($D$1*D34)</f>
        <v>5.9141710000000002E-3</v>
      </c>
      <c r="F34" s="4">
        <v>5.0959299999999999E-2</v>
      </c>
      <c r="G34" s="4">
        <v>2.7274700000000001E-3</v>
      </c>
      <c r="H34" s="13">
        <f t="shared" ref="H34:H38" si="7">F34+($D$1*G34)</f>
        <v>5.914171E-2</v>
      </c>
    </row>
    <row r="35" spans="2:24" x14ac:dyDescent="0.25">
      <c r="B35" s="2">
        <v>15</v>
      </c>
      <c r="C35" s="4">
        <v>5.3544600000000001E-3</v>
      </c>
      <c r="D35" s="4">
        <v>2.7701000000000001E-4</v>
      </c>
      <c r="E35" s="13">
        <f t="shared" si="6"/>
        <v>6.1854900000000001E-3</v>
      </c>
      <c r="F35" s="4">
        <v>8.0316899999999997E-2</v>
      </c>
      <c r="G35" s="4">
        <v>4.1551599999999998E-3</v>
      </c>
      <c r="H35" s="13">
        <f t="shared" si="7"/>
        <v>9.2782379999999998E-2</v>
      </c>
      <c r="K35" s="12"/>
      <c r="L35" s="28" t="s">
        <v>51</v>
      </c>
      <c r="M35" s="28"/>
      <c r="N35" s="28"/>
      <c r="O35" s="28"/>
      <c r="P35" s="28"/>
      <c r="Q35" s="28"/>
      <c r="S35" s="28" t="s">
        <v>59</v>
      </c>
      <c r="T35" s="28"/>
      <c r="U35" s="28"/>
      <c r="V35" s="28"/>
      <c r="W35" s="28"/>
      <c r="X35" s="28"/>
    </row>
    <row r="36" spans="2:24" x14ac:dyDescent="0.25">
      <c r="B36" s="2">
        <v>26</v>
      </c>
      <c r="C36" s="4">
        <v>5.9217899999999997E-3</v>
      </c>
      <c r="D36" s="4">
        <v>2.8160899999999999E-4</v>
      </c>
      <c r="E36" s="13">
        <f t="shared" si="6"/>
        <v>6.7666169999999999E-3</v>
      </c>
      <c r="F36" s="4">
        <v>0.147115</v>
      </c>
      <c r="G36" s="4">
        <v>7.2171800000000001E-3</v>
      </c>
      <c r="H36" s="13">
        <f t="shared" si="7"/>
        <v>0.16876653999999999</v>
      </c>
      <c r="K36" s="5"/>
      <c r="L36" s="5" t="s">
        <v>30</v>
      </c>
      <c r="M36" s="5" t="s">
        <v>31</v>
      </c>
      <c r="N36" s="5" t="s">
        <v>32</v>
      </c>
      <c r="O36" s="5" t="s">
        <v>33</v>
      </c>
      <c r="P36" s="5" t="s">
        <v>34</v>
      </c>
      <c r="Q36" s="5" t="s">
        <v>44</v>
      </c>
      <c r="S36" s="5" t="s">
        <v>30</v>
      </c>
      <c r="T36" s="5" t="s">
        <v>31</v>
      </c>
      <c r="U36" s="5" t="s">
        <v>32</v>
      </c>
      <c r="V36" s="5" t="s">
        <v>33</v>
      </c>
      <c r="W36" s="5" t="s">
        <v>34</v>
      </c>
      <c r="X36" s="5" t="s">
        <v>44</v>
      </c>
    </row>
    <row r="37" spans="2:24" x14ac:dyDescent="0.25">
      <c r="B37" s="2">
        <v>30</v>
      </c>
      <c r="C37" s="4">
        <v>5.7554900000000003E-3</v>
      </c>
      <c r="D37" s="4">
        <v>2.8128799999999998E-4</v>
      </c>
      <c r="E37" s="13">
        <f t="shared" si="6"/>
        <v>6.599354E-3</v>
      </c>
      <c r="F37" s="4">
        <v>0.17266500000000001</v>
      </c>
      <c r="G37" s="4">
        <v>8.4386500000000007E-3</v>
      </c>
      <c r="H37" s="13">
        <f t="shared" si="7"/>
        <v>0.19798095000000002</v>
      </c>
      <c r="L37">
        <f t="array" ref="L37:P37">LINEST($F$33:$F$38,$B$33:$B$38^{1,2,3,4},TRUE,FALSE)</f>
        <v>-4.8761746438802171E-8</v>
      </c>
      <c r="M37">
        <v>4.8241683911826776E-6</v>
      </c>
      <c r="N37">
        <v>-1.494497540583097E-4</v>
      </c>
      <c r="O37">
        <v>7.7520075179038422E-3</v>
      </c>
      <c r="P37">
        <v>-1.6042178183519221E-2</v>
      </c>
      <c r="Q37">
        <f>($L$37*$D$2^4)+($M$37*$D$2^3)+($N$37*$D$2^2)+($O$37*$D$2^1)+$P$37</f>
        <v>0.21251860215391358</v>
      </c>
      <c r="S37">
        <f t="array" ref="S37:W37">LINEST($H$33:$H$38,$B$33:$B$38^{1,2,3,4},TRUE,FALSE)</f>
        <v>-6.5485636472695827E-8</v>
      </c>
      <c r="T37">
        <v>6.6589234187491396E-6</v>
      </c>
      <c r="U37">
        <v>-2.1544660351118961E-4</v>
      </c>
      <c r="V37">
        <v>9.5353864614821059E-3</v>
      </c>
      <c r="W37">
        <v>-2.0789723955358351E-2</v>
      </c>
      <c r="X37">
        <f>($S$37*$D$2^4)+($T$37*$D$2^3)+($U$37*$D$2^2)+($V$37*$D$2^1)+$W$37</f>
        <v>0.24395339874293206</v>
      </c>
    </row>
    <row r="38" spans="2:24" x14ac:dyDescent="0.25">
      <c r="B38" s="2">
        <v>36</v>
      </c>
      <c r="C38" s="4">
        <v>5.9038199999999997E-3</v>
      </c>
      <c r="D38" s="4">
        <v>2.9111499999999999E-4</v>
      </c>
      <c r="E38" s="13">
        <f t="shared" si="6"/>
        <v>6.7771649999999999E-3</v>
      </c>
      <c r="F38" s="4">
        <v>0.212537</v>
      </c>
      <c r="G38" s="4">
        <v>1.04802E-2</v>
      </c>
      <c r="H38" s="13">
        <f t="shared" si="7"/>
        <v>0.24397760000000002</v>
      </c>
    </row>
    <row r="39" spans="2:24" x14ac:dyDescent="0.25">
      <c r="B39" s="1"/>
      <c r="C39" s="1"/>
      <c r="D39" s="1"/>
      <c r="E39" s="1"/>
      <c r="F39" s="4"/>
      <c r="G39" s="1"/>
      <c r="H39" s="1"/>
    </row>
    <row r="40" spans="2:24" x14ac:dyDescent="0.25">
      <c r="B40" s="40" t="s">
        <v>21</v>
      </c>
      <c r="C40" s="40"/>
      <c r="D40" s="40"/>
      <c r="E40" s="40"/>
      <c r="F40" s="40"/>
      <c r="G40" s="40"/>
      <c r="H40" s="40"/>
      <c r="K40" s="12"/>
      <c r="L40" s="28" t="s">
        <v>52</v>
      </c>
      <c r="M40" s="28"/>
      <c r="N40" s="28"/>
      <c r="O40" s="28"/>
      <c r="P40" s="28"/>
      <c r="Q40" s="28"/>
      <c r="S40" s="28" t="s">
        <v>60</v>
      </c>
      <c r="T40" s="28"/>
      <c r="U40" s="28"/>
      <c r="V40" s="28"/>
      <c r="W40" s="28"/>
      <c r="X40" s="28"/>
    </row>
    <row r="41" spans="2:24" x14ac:dyDescent="0.25">
      <c r="B41" s="2" t="s">
        <v>0</v>
      </c>
      <c r="C41" s="2" t="s">
        <v>1</v>
      </c>
      <c r="D41" s="2" t="s">
        <v>2</v>
      </c>
      <c r="E41" s="3" t="s">
        <v>5</v>
      </c>
      <c r="F41" s="2" t="s">
        <v>3</v>
      </c>
      <c r="G41" s="2" t="s">
        <v>4</v>
      </c>
      <c r="H41" s="2" t="s">
        <v>6</v>
      </c>
      <c r="K41" s="5"/>
      <c r="L41" s="5" t="s">
        <v>30</v>
      </c>
      <c r="M41" s="5" t="s">
        <v>31</v>
      </c>
      <c r="N41" s="5" t="s">
        <v>32</v>
      </c>
      <c r="O41" s="5" t="s">
        <v>33</v>
      </c>
      <c r="P41" s="5" t="s">
        <v>34</v>
      </c>
      <c r="Q41" s="5" t="s">
        <v>44</v>
      </c>
      <c r="S41" s="5" t="s">
        <v>30</v>
      </c>
      <c r="T41" s="5" t="s">
        <v>31</v>
      </c>
      <c r="U41" s="5" t="s">
        <v>32</v>
      </c>
      <c r="V41" s="5" t="s">
        <v>33</v>
      </c>
      <c r="W41" s="5" t="s">
        <v>34</v>
      </c>
      <c r="X41" s="5" t="s">
        <v>44</v>
      </c>
    </row>
    <row r="42" spans="2:24" x14ac:dyDescent="0.25">
      <c r="B42" s="2">
        <v>5</v>
      </c>
      <c r="C42" s="4">
        <v>4.3606599999999997E-3</v>
      </c>
      <c r="D42" s="4">
        <v>1.90547E-4</v>
      </c>
      <c r="E42" s="13">
        <f>C42+($D$1*D42)</f>
        <v>4.932301E-3</v>
      </c>
      <c r="F42" s="4">
        <v>2.1803300000000001E-2</v>
      </c>
      <c r="G42" s="4">
        <v>9.5273299999999999E-4</v>
      </c>
      <c r="H42" s="13">
        <f>F42+($D$1*G42)</f>
        <v>2.4661499E-2</v>
      </c>
      <c r="L42">
        <f t="array" ref="L42:P42">LINEST($C$42:$C$47,$B$42:$B$47^{1,2,3,4},TRUE,FALSE)</f>
        <v>-1.0121681527879106E-8</v>
      </c>
      <c r="M42">
        <v>1.0059261556196401E-6</v>
      </c>
      <c r="N42">
        <v>-3.7097167822124159E-5</v>
      </c>
      <c r="O42">
        <v>6.2205539022544803E-4</v>
      </c>
      <c r="P42">
        <v>2.0826055326298269E-3</v>
      </c>
      <c r="Q42">
        <f>($L$42*$D$2^4)+($M$42*$D$2^3)+($N$42*$D$2^2)+($O$42*$D$2^1)+$P$42</f>
        <v>6.3306225587327833E-3</v>
      </c>
      <c r="S42">
        <f t="array" ref="S42:W42">LINEST($E$42:$E$47,$B$42:$B$47^{1,2,3,4},TRUE,FALSE)</f>
        <v>-1.3726874277908607E-8</v>
      </c>
      <c r="T42">
        <v>1.3488557333791355E-6</v>
      </c>
      <c r="U42">
        <v>-4.8687276076621921E-5</v>
      </c>
      <c r="V42">
        <v>7.8866497491533803E-4</v>
      </c>
      <c r="W42">
        <v>2.0735135821943933E-3</v>
      </c>
      <c r="X42">
        <f>($S$42*$D$2^4)+($T$42*$D$2^3)+($U$42*$D$2^2)+($V$42*$D$2^1)+$W$42</f>
        <v>7.2430783132177582E-3</v>
      </c>
    </row>
    <row r="43" spans="2:24" x14ac:dyDescent="0.25">
      <c r="B43" s="2">
        <v>10</v>
      </c>
      <c r="C43" s="4">
        <v>5.5928599999999998E-3</v>
      </c>
      <c r="D43" s="4">
        <v>2.7243100000000001E-4</v>
      </c>
      <c r="E43" s="13">
        <f t="shared" ref="E43:E47" si="8">C43+($D$1*D43)</f>
        <v>6.410153E-3</v>
      </c>
      <c r="F43" s="4">
        <v>5.5928600000000002E-2</v>
      </c>
      <c r="G43" s="4">
        <v>2.7243100000000002E-3</v>
      </c>
      <c r="H43" s="13">
        <f t="shared" ref="H43:H47" si="9">F43+($D$1*G43)</f>
        <v>6.4101530000000004E-2</v>
      </c>
    </row>
    <row r="44" spans="2:24" x14ac:dyDescent="0.25">
      <c r="B44" s="2">
        <v>15</v>
      </c>
      <c r="C44" s="4">
        <v>5.8354599999999998E-3</v>
      </c>
      <c r="D44" s="4">
        <v>2.8074600000000001E-4</v>
      </c>
      <c r="E44" s="13">
        <f t="shared" si="8"/>
        <v>6.6776980000000001E-3</v>
      </c>
      <c r="F44" s="4">
        <v>8.7531899999999996E-2</v>
      </c>
      <c r="G44" s="4">
        <v>4.2111900000000001E-3</v>
      </c>
      <c r="H44" s="13">
        <f t="shared" si="9"/>
        <v>0.10016546999999999</v>
      </c>
      <c r="K44" s="12"/>
      <c r="L44" s="28" t="s">
        <v>53</v>
      </c>
      <c r="M44" s="28"/>
      <c r="N44" s="28"/>
      <c r="O44" s="28"/>
      <c r="P44" s="28"/>
      <c r="Q44" s="28"/>
      <c r="S44" s="28" t="s">
        <v>61</v>
      </c>
      <c r="T44" s="28"/>
      <c r="U44" s="28"/>
      <c r="V44" s="28"/>
      <c r="W44" s="28"/>
      <c r="X44" s="28"/>
    </row>
    <row r="45" spans="2:24" x14ac:dyDescent="0.25">
      <c r="B45" s="2">
        <v>26</v>
      </c>
      <c r="C45" s="4">
        <v>6.3664000000000004E-3</v>
      </c>
      <c r="D45" s="4">
        <v>2.9505500000000001E-4</v>
      </c>
      <c r="E45" s="13">
        <f t="shared" si="8"/>
        <v>7.2515650000000006E-3</v>
      </c>
      <c r="F45" s="4">
        <v>0.159051</v>
      </c>
      <c r="G45" s="4">
        <v>7.51207E-3</v>
      </c>
      <c r="H45" s="13">
        <f t="shared" si="9"/>
        <v>0.18158721</v>
      </c>
      <c r="L45" s="5" t="s">
        <v>30</v>
      </c>
      <c r="M45" s="5" t="s">
        <v>31</v>
      </c>
      <c r="N45" s="5" t="s">
        <v>32</v>
      </c>
      <c r="O45" s="5" t="s">
        <v>33</v>
      </c>
      <c r="P45" s="5" t="s">
        <v>34</v>
      </c>
      <c r="Q45" s="5" t="s">
        <v>44</v>
      </c>
      <c r="S45" s="5" t="s">
        <v>30</v>
      </c>
      <c r="T45" s="5" t="s">
        <v>31</v>
      </c>
      <c r="U45" s="5" t="s">
        <v>32</v>
      </c>
      <c r="V45" s="5" t="s">
        <v>33</v>
      </c>
      <c r="W45" s="5" t="s">
        <v>34</v>
      </c>
      <c r="X45" s="5" t="s">
        <v>44</v>
      </c>
    </row>
    <row r="46" spans="2:24" x14ac:dyDescent="0.25">
      <c r="B46" s="2">
        <v>30</v>
      </c>
      <c r="C46" s="4">
        <v>6.2088200000000003E-3</v>
      </c>
      <c r="D46" s="4">
        <v>2.9421200000000002E-4</v>
      </c>
      <c r="E46" s="13">
        <f t="shared" si="8"/>
        <v>7.0914560000000003E-3</v>
      </c>
      <c r="F46" s="4">
        <v>0.18626400000000001</v>
      </c>
      <c r="G46" s="4">
        <v>8.8263899999999999E-3</v>
      </c>
      <c r="H46" s="13">
        <f t="shared" si="9"/>
        <v>0.21274317000000001</v>
      </c>
      <c r="L46">
        <f t="array" ref="L46:P46">LINEST($F$42:$F$47,$B$42:$B$47^{1,2,3,4},TRUE,FALSE)</f>
        <v>-5.6163605931493E-8</v>
      </c>
      <c r="M46">
        <v>5.5231416398433734E-6</v>
      </c>
      <c r="N46">
        <v>-1.7370091856585461E-4</v>
      </c>
      <c r="O46">
        <v>8.5426974777844701E-3</v>
      </c>
      <c r="P46">
        <v>-1.7195845890635615E-2</v>
      </c>
      <c r="Q46">
        <f>($L$46*$D$2^4)+($M$46*$D$2^3)+($N$46*$D$2^2)+($O$46*$D$2^1)+$P$46</f>
        <v>0.22857927805655964</v>
      </c>
      <c r="S46">
        <f t="array" ref="S46:W46">LINEST($H$42:$H$47,$B$42:$B$47^{1,2,3,4},TRUE,FALSE)</f>
        <v>-7.0105223677613712E-8</v>
      </c>
      <c r="T46">
        <v>7.0238089706449958E-6</v>
      </c>
      <c r="U46">
        <v>-2.2555715685769928E-4</v>
      </c>
      <c r="V46">
        <v>1.0141445027873005E-2</v>
      </c>
      <c r="W46">
        <v>-2.1208183197644205E-2</v>
      </c>
      <c r="X46">
        <f>($S$46*$D$2^4)+($T$46*$D$2^3)+($U$46*$D$2^2)+($V$46*$D$2^1)+$W$46</f>
        <v>0.2615147384801198</v>
      </c>
    </row>
    <row r="47" spans="2:24" x14ac:dyDescent="0.25">
      <c r="B47" s="2">
        <v>36</v>
      </c>
      <c r="C47" s="4">
        <v>6.3500199999999996E-3</v>
      </c>
      <c r="D47" s="4">
        <v>3.0499999999999999E-4</v>
      </c>
      <c r="E47" s="13">
        <f t="shared" si="8"/>
        <v>7.2650199999999996E-3</v>
      </c>
      <c r="F47" s="4">
        <v>0.228601</v>
      </c>
      <c r="G47" s="4">
        <v>1.098E-2</v>
      </c>
      <c r="H47" s="13">
        <f t="shared" si="9"/>
        <v>0.26154100000000002</v>
      </c>
    </row>
    <row r="49" spans="2:28" x14ac:dyDescent="0.25">
      <c r="B49" s="40" t="s">
        <v>48</v>
      </c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P49" s="40" t="s">
        <v>49</v>
      </c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</row>
    <row r="50" spans="2:28" x14ac:dyDescent="0.25"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</row>
  </sheetData>
  <mergeCells count="19">
    <mergeCell ref="B49:N50"/>
    <mergeCell ref="P49:AB50"/>
    <mergeCell ref="L44:Q44"/>
    <mergeCell ref="L40:Q40"/>
    <mergeCell ref="L35:Q35"/>
    <mergeCell ref="S35:X35"/>
    <mergeCell ref="S40:X40"/>
    <mergeCell ref="S44:X44"/>
    <mergeCell ref="B22:H22"/>
    <mergeCell ref="B31:H31"/>
    <mergeCell ref="B40:H40"/>
    <mergeCell ref="L4:Q4"/>
    <mergeCell ref="S4:X4"/>
    <mergeCell ref="L8:Q8"/>
    <mergeCell ref="S8:X8"/>
    <mergeCell ref="L31:Q31"/>
    <mergeCell ref="S31:X31"/>
    <mergeCell ref="B4:H4"/>
    <mergeCell ref="B13:H1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42"/>
  <sheetViews>
    <sheetView zoomScale="85" zoomScaleNormal="85" workbookViewId="0">
      <selection activeCell="AY38" sqref="AY38"/>
    </sheetView>
  </sheetViews>
  <sheetFormatPr defaultRowHeight="15" x14ac:dyDescent="0.25"/>
  <cols>
    <col min="28" max="28" width="11.140625" bestFit="1" customWidth="1"/>
    <col min="29" max="29" width="11" bestFit="1" customWidth="1"/>
    <col min="30" max="30" width="11.140625" bestFit="1" customWidth="1"/>
    <col min="31" max="31" width="11" bestFit="1" customWidth="1"/>
    <col min="32" max="32" width="11.140625" bestFit="1" customWidth="1"/>
    <col min="33" max="33" width="11" bestFit="1" customWidth="1"/>
    <col min="34" max="35" width="11" customWidth="1"/>
    <col min="37" max="37" width="13" bestFit="1" customWidth="1"/>
    <col min="38" max="38" width="11.28515625" bestFit="1" customWidth="1"/>
    <col min="39" max="39" width="11.140625" bestFit="1" customWidth="1"/>
    <col min="40" max="40" width="11.28515625" bestFit="1" customWidth="1"/>
    <col min="41" max="41" width="11" bestFit="1" customWidth="1"/>
    <col min="42" max="42" width="11.28515625" bestFit="1" customWidth="1"/>
    <col min="43" max="43" width="12.140625" customWidth="1"/>
    <col min="45" max="45" width="11.140625" bestFit="1" customWidth="1"/>
    <col min="46" max="46" width="11" bestFit="1" customWidth="1"/>
    <col min="47" max="47" width="11.140625" bestFit="1" customWidth="1"/>
    <col min="48" max="48" width="11.42578125" bestFit="1" customWidth="1"/>
    <col min="49" max="49" width="11" bestFit="1" customWidth="1"/>
    <col min="50" max="50" width="12.85546875" bestFit="1" customWidth="1"/>
    <col min="51" max="52" width="11" customWidth="1"/>
    <col min="54" max="54" width="13" bestFit="1" customWidth="1"/>
    <col min="55" max="55" width="11.28515625" bestFit="1" customWidth="1"/>
    <col min="56" max="56" width="11.140625" bestFit="1" customWidth="1"/>
    <col min="57" max="57" width="11.28515625" bestFit="1" customWidth="1"/>
    <col min="58" max="58" width="11" bestFit="1" customWidth="1"/>
    <col min="59" max="59" width="11.28515625" bestFit="1" customWidth="1"/>
    <col min="60" max="60" width="12.140625" customWidth="1"/>
  </cols>
  <sheetData>
    <row r="1" spans="1:60" x14ac:dyDescent="0.25">
      <c r="C1" s="41" t="s">
        <v>93</v>
      </c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S1" t="s">
        <v>43</v>
      </c>
      <c r="T1">
        <f>'Comparator Config Inputs'!C9</f>
        <v>36</v>
      </c>
      <c r="V1" t="s">
        <v>35</v>
      </c>
      <c r="W1">
        <f>'Comparator Config Inputs'!C21</f>
        <v>6</v>
      </c>
    </row>
    <row r="3" spans="1:60" x14ac:dyDescent="0.25">
      <c r="C3" s="41" t="s">
        <v>94</v>
      </c>
      <c r="D3" s="41"/>
      <c r="E3" s="41"/>
      <c r="F3" s="41"/>
      <c r="G3" s="41"/>
      <c r="H3" s="41"/>
      <c r="I3" s="41"/>
      <c r="K3" s="41" t="s">
        <v>95</v>
      </c>
      <c r="L3" s="41"/>
      <c r="M3" s="41"/>
      <c r="N3" s="41"/>
      <c r="O3" s="41"/>
      <c r="P3" s="41"/>
      <c r="Q3" s="41"/>
      <c r="S3" s="42" t="s">
        <v>109</v>
      </c>
      <c r="T3" s="41"/>
      <c r="U3" s="41"/>
      <c r="V3" s="41"/>
      <c r="W3" s="41"/>
      <c r="X3" s="41"/>
      <c r="Y3" s="41"/>
      <c r="AB3" s="28" t="s">
        <v>113</v>
      </c>
      <c r="AC3" s="28"/>
      <c r="AD3" s="28"/>
      <c r="AE3" s="28"/>
      <c r="AF3" s="28"/>
      <c r="AG3" s="28"/>
      <c r="AH3" s="23"/>
      <c r="AI3" s="23"/>
      <c r="AJ3" s="23"/>
      <c r="AK3" s="28" t="s">
        <v>114</v>
      </c>
      <c r="AL3" s="28"/>
      <c r="AM3" s="28"/>
      <c r="AN3" s="28"/>
      <c r="AO3" s="28"/>
      <c r="AP3" s="28"/>
      <c r="AQ3" s="28"/>
      <c r="AS3" s="28" t="s">
        <v>130</v>
      </c>
      <c r="AT3" s="28"/>
      <c r="AU3" s="28"/>
      <c r="AV3" s="28"/>
      <c r="AW3" s="28"/>
      <c r="AX3" s="28"/>
      <c r="AY3" s="23"/>
      <c r="AZ3" s="23"/>
      <c r="BA3" s="23"/>
      <c r="BB3" s="28" t="s">
        <v>128</v>
      </c>
      <c r="BC3" s="28"/>
      <c r="BD3" s="28"/>
      <c r="BE3" s="28"/>
      <c r="BF3" s="28"/>
      <c r="BG3" s="28"/>
      <c r="BH3" s="28"/>
    </row>
    <row r="4" spans="1:60" x14ac:dyDescent="0.25">
      <c r="C4" t="s">
        <v>96</v>
      </c>
      <c r="D4" t="s">
        <v>97</v>
      </c>
      <c r="E4" t="s">
        <v>98</v>
      </c>
      <c r="F4" t="s">
        <v>99</v>
      </c>
      <c r="G4" t="s">
        <v>100</v>
      </c>
      <c r="H4" t="s">
        <v>101</v>
      </c>
      <c r="I4" t="s">
        <v>102</v>
      </c>
      <c r="K4" t="s">
        <v>96</v>
      </c>
      <c r="L4" t="s">
        <v>97</v>
      </c>
      <c r="M4" t="s">
        <v>98</v>
      </c>
      <c r="N4" t="s">
        <v>99</v>
      </c>
      <c r="O4" t="s">
        <v>100</v>
      </c>
      <c r="P4" t="s">
        <v>101</v>
      </c>
      <c r="Q4" t="s">
        <v>102</v>
      </c>
      <c r="S4" t="s">
        <v>96</v>
      </c>
      <c r="T4" t="s">
        <v>97</v>
      </c>
      <c r="U4" t="s">
        <v>98</v>
      </c>
      <c r="V4" t="s">
        <v>99</v>
      </c>
      <c r="W4" t="s">
        <v>100</v>
      </c>
      <c r="X4" t="s">
        <v>101</v>
      </c>
      <c r="Y4" t="s">
        <v>102</v>
      </c>
      <c r="AB4" s="25" t="s">
        <v>123</v>
      </c>
      <c r="AC4" s="25" t="s">
        <v>29</v>
      </c>
      <c r="AD4" s="25" t="s">
        <v>30</v>
      </c>
      <c r="AE4" s="25" t="s">
        <v>31</v>
      </c>
      <c r="AF4" s="25" t="s">
        <v>32</v>
      </c>
      <c r="AG4" s="25" t="s">
        <v>33</v>
      </c>
      <c r="AH4" s="25" t="s">
        <v>34</v>
      </c>
      <c r="AI4" s="25" t="s">
        <v>44</v>
      </c>
      <c r="AK4" s="25" t="s">
        <v>29</v>
      </c>
      <c r="AL4" s="25" t="s">
        <v>30</v>
      </c>
      <c r="AM4" s="25" t="s">
        <v>31</v>
      </c>
      <c r="AN4" s="25" t="s">
        <v>32</v>
      </c>
      <c r="AO4" s="25" t="s">
        <v>33</v>
      </c>
      <c r="AP4" s="25" t="s">
        <v>34</v>
      </c>
      <c r="AQ4" s="25" t="s">
        <v>44</v>
      </c>
      <c r="AS4" s="25" t="s">
        <v>123</v>
      </c>
      <c r="AT4" s="25" t="s">
        <v>29</v>
      </c>
      <c r="AU4" s="25" t="s">
        <v>30</v>
      </c>
      <c r="AV4" s="25" t="s">
        <v>31</v>
      </c>
      <c r="AW4" s="25" t="s">
        <v>32</v>
      </c>
      <c r="AX4" s="25" t="s">
        <v>33</v>
      </c>
      <c r="AY4" s="25" t="s">
        <v>34</v>
      </c>
      <c r="AZ4" s="25" t="s">
        <v>44</v>
      </c>
      <c r="BB4" s="25" t="s">
        <v>29</v>
      </c>
      <c r="BC4" s="25" t="s">
        <v>30</v>
      </c>
      <c r="BD4" s="25" t="s">
        <v>31</v>
      </c>
      <c r="BE4" s="25" t="s">
        <v>32</v>
      </c>
      <c r="BF4" s="25" t="s">
        <v>33</v>
      </c>
      <c r="BG4" s="25" t="s">
        <v>34</v>
      </c>
      <c r="BH4" s="25" t="s">
        <v>44</v>
      </c>
    </row>
    <row r="5" spans="1:60" x14ac:dyDescent="0.25">
      <c r="A5" s="26"/>
      <c r="B5">
        <v>36</v>
      </c>
      <c r="C5" s="26">
        <v>6.4999999999999996E-6</v>
      </c>
      <c r="D5" s="26">
        <v>3.8760000000000003E-9</v>
      </c>
      <c r="E5" s="26">
        <v>7.1900000000000002E-3</v>
      </c>
      <c r="F5" s="26">
        <v>1.2699999999999999E-2</v>
      </c>
      <c r="G5" s="26">
        <v>1.2200000000000001E-2</v>
      </c>
      <c r="H5" s="26">
        <v>7.7000000000000002E-3</v>
      </c>
      <c r="I5" s="26">
        <v>4.4999999999999998E-2</v>
      </c>
      <c r="K5" s="26">
        <v>2.8898E-5</v>
      </c>
      <c r="L5" s="26">
        <v>9.4508000000000005E-9</v>
      </c>
      <c r="M5" s="26">
        <v>1.0231000000000001E-3</v>
      </c>
      <c r="N5" s="26">
        <v>1.6440000000000001E-3</v>
      </c>
      <c r="O5" s="26">
        <v>1.1795E-3</v>
      </c>
      <c r="P5" s="26">
        <v>1.5148E-3</v>
      </c>
      <c r="Q5" s="26">
        <v>1.0994E-2</v>
      </c>
      <c r="S5" s="26">
        <f t="shared" ref="S5:Y11" si="0">C5+($W$1*K5)</f>
        <v>1.7988800000000001E-4</v>
      </c>
      <c r="T5" s="26">
        <f t="shared" si="0"/>
        <v>6.0580800000000007E-8</v>
      </c>
      <c r="U5" s="26">
        <f t="shared" si="0"/>
        <v>1.3328600000000001E-2</v>
      </c>
      <c r="V5" s="26">
        <f t="shared" si="0"/>
        <v>2.2564000000000001E-2</v>
      </c>
      <c r="W5" s="26">
        <f t="shared" si="0"/>
        <v>1.9277000000000002E-2</v>
      </c>
      <c r="X5" s="26">
        <f t="shared" si="0"/>
        <v>1.67888E-2</v>
      </c>
      <c r="Y5" s="26">
        <f t="shared" si="0"/>
        <v>0.11096399999999999</v>
      </c>
      <c r="AB5" s="9">
        <f t="array" ref="AB5:AH5">LINEST($C$25:$C$31,$B$25:$B$31^{1,2,3,4,5,6},TRUE,FALSE)</f>
        <v>-6.7697058282173257E-10</v>
      </c>
      <c r="AC5" s="9">
        <v>7.0534701721706194E-8</v>
      </c>
      <c r="AD5" s="9">
        <v>-2.5581028752124198E-6</v>
      </c>
      <c r="AE5" s="9">
        <v>3.6175716461300002E-5</v>
      </c>
      <c r="AF5" s="9">
        <v>-2.2211750030709656E-4</v>
      </c>
      <c r="AG5">
        <v>3.0907237525372145E-3</v>
      </c>
      <c r="AH5" s="9">
        <v>-5.7056747931876206E-3</v>
      </c>
      <c r="AI5" s="9">
        <f>($AB$5*$T$1^6)+($AC$5*$T$1^5)+($AD$5*$T$1^4)+($AE$5*$T$1^3)+($AF$5*$T$1^2)+($AG$5*$T$1^1)+$AH$5</f>
        <v>2.2589000000108883E-4</v>
      </c>
      <c r="AJ5" s="9"/>
      <c r="AK5">
        <f t="array" ref="AK5:AP5">LINEST($S$25:$S$31,$B$25:$B$31^{1,2,3,4,5},TRUE,FALSE)</f>
        <v>-6.1290990702773343E-8</v>
      </c>
      <c r="AL5" s="9">
        <v>4.6334471905795982E-6</v>
      </c>
      <c r="AM5" s="9">
        <v>-1.217172346125385E-4</v>
      </c>
      <c r="AN5" s="9">
        <v>1.3109981577436344E-3</v>
      </c>
      <c r="AO5" s="9">
        <v>-2.5512820735983199E-3</v>
      </c>
      <c r="AP5" s="9">
        <v>1.500400540642266E-3</v>
      </c>
      <c r="AQ5" s="9">
        <f>($AK$5*$T$1^5)+($AL$5*$T$1^4)+($AM$5*$T$1^3)+($AN$5*$T$1^2)+($AO$5*$T$1^1)+$AP$5</f>
        <v>6.2487656485421261E-3</v>
      </c>
      <c r="AS5" s="9">
        <f t="array" ref="AS5:AY5">LINEST($I$25:$I$31,$B$25:$B$31^{1,2,3,4,5,6},TRUE,FALSE)</f>
        <v>8.5391668145121574E-9</v>
      </c>
      <c r="AT5" s="9">
        <v>-6.748424532444926E-7</v>
      </c>
      <c r="AU5" s="9">
        <v>2.0386929831148558E-5</v>
      </c>
      <c r="AV5" s="9">
        <v>-2.9430005317004134E-4</v>
      </c>
      <c r="AW5" s="9">
        <v>2.609517292653859E-3</v>
      </c>
      <c r="AX5">
        <v>-1.1502194534493075E-3</v>
      </c>
      <c r="AY5" s="9">
        <v>-3.0417013623962319E-3</v>
      </c>
      <c r="AZ5" s="9">
        <f>($AS$5*$T$1^6)+($AT$5*$T$1^5)+($AU$5*$T$1^4)+($AV$5*$T$1^3)+($AW$5*$T$1^2)+($AX$5*$T$1^1)+$AY$5</f>
        <v>1.6315999999999884</v>
      </c>
      <c r="BA5" s="9"/>
      <c r="BB5">
        <f t="array" ref="BB5:BG5">LINEST($Y$25:$Y$31,$B$25:$B$31^{1,2,3,4,5},TRUE,FALSE)</f>
        <v>7.0795147642223797E-7</v>
      </c>
      <c r="BC5" s="9">
        <v>-5.0162508146477985E-5</v>
      </c>
      <c r="BD5" s="9">
        <v>1.3092613086221785E-3</v>
      </c>
      <c r="BE5" s="9">
        <v>-1.4086038755159635E-2</v>
      </c>
      <c r="BF5" s="9">
        <v>7.6178471257417391E-2</v>
      </c>
      <c r="BG5" s="9">
        <v>-0.11912673354175318</v>
      </c>
      <c r="BH5" s="9">
        <f>($BB$5*$T$1^5)+($BC$5*$T$1^4)+($BD$5*$T$1^3)+($BE$5*$T$1^2)+($BF$5*$T$1^1)+$BG$5</f>
        <v>4.006054909966875</v>
      </c>
    </row>
    <row r="6" spans="1:60" x14ac:dyDescent="0.25">
      <c r="B6">
        <v>30</v>
      </c>
      <c r="C6" s="26">
        <v>4.2670000000000002E-4</v>
      </c>
      <c r="D6" s="26">
        <v>1.9388999999999999E-8</v>
      </c>
      <c r="E6" s="26">
        <v>4.1567000000000002E-3</v>
      </c>
      <c r="F6" s="26">
        <v>9.0209999999999995E-3</v>
      </c>
      <c r="G6" s="26">
        <v>9.1059000000000001E-3</v>
      </c>
      <c r="H6" s="26">
        <v>4.1957000000000001E-3</v>
      </c>
      <c r="I6" s="26">
        <v>2.349E-2</v>
      </c>
      <c r="K6" s="26">
        <v>4.0484000000000001E-4</v>
      </c>
      <c r="L6" s="26">
        <v>1.1627E-8</v>
      </c>
      <c r="M6" s="26">
        <v>9.1204000000000003E-4</v>
      </c>
      <c r="N6" s="26">
        <v>1.0502E-3</v>
      </c>
      <c r="O6" s="26">
        <v>1.0809000000000001E-3</v>
      </c>
      <c r="P6" s="26">
        <v>8.9963E-4</v>
      </c>
      <c r="Q6" s="26">
        <v>3.9166000000000001E-3</v>
      </c>
      <c r="S6" s="26">
        <f t="shared" si="0"/>
        <v>2.8557399999999998E-3</v>
      </c>
      <c r="T6" s="26">
        <f t="shared" si="0"/>
        <v>8.9151000000000002E-8</v>
      </c>
      <c r="U6" s="26">
        <f t="shared" si="0"/>
        <v>9.628939999999999E-3</v>
      </c>
      <c r="V6" s="26">
        <f t="shared" si="0"/>
        <v>1.5322199999999999E-2</v>
      </c>
      <c r="W6" s="26">
        <f t="shared" si="0"/>
        <v>1.5591300000000001E-2</v>
      </c>
      <c r="X6" s="26">
        <f t="shared" si="0"/>
        <v>9.5934799999999997E-3</v>
      </c>
      <c r="Y6" s="26">
        <f t="shared" si="0"/>
        <v>4.6989600000000006E-2</v>
      </c>
    </row>
    <row r="7" spans="1:60" x14ac:dyDescent="0.25">
      <c r="B7">
        <v>20</v>
      </c>
      <c r="C7" s="26">
        <v>1.8001E-3</v>
      </c>
      <c r="D7" s="26">
        <v>9.4843000000000004E-9</v>
      </c>
      <c r="E7" s="26">
        <v>1.4798999999999999E-3</v>
      </c>
      <c r="F7" s="26">
        <v>6.0825000000000002E-3</v>
      </c>
      <c r="G7" s="26">
        <v>6.1622999999999999E-3</v>
      </c>
      <c r="H7" s="26">
        <v>1.4691999999999999E-3</v>
      </c>
      <c r="I7" s="26">
        <v>1.5613999999999999E-2</v>
      </c>
      <c r="K7" s="26">
        <v>1.4543999999999999E-4</v>
      </c>
      <c r="L7" s="26">
        <v>2.0044999999999999E-9</v>
      </c>
      <c r="M7" s="26">
        <v>2.8964000000000003E-4</v>
      </c>
      <c r="N7" s="26">
        <v>3.968E-4</v>
      </c>
      <c r="O7" s="26">
        <v>4.4320999999999998E-4</v>
      </c>
      <c r="P7" s="26">
        <v>2.5643999999999998E-4</v>
      </c>
      <c r="Q7" s="26">
        <v>1.4632E-3</v>
      </c>
      <c r="S7" s="26">
        <f t="shared" si="0"/>
        <v>2.6727399999999998E-3</v>
      </c>
      <c r="T7" s="26">
        <f t="shared" si="0"/>
        <v>2.15113E-8</v>
      </c>
      <c r="U7" s="26">
        <f t="shared" si="0"/>
        <v>3.2177400000000002E-3</v>
      </c>
      <c r="V7" s="26">
        <f t="shared" si="0"/>
        <v>8.4633E-3</v>
      </c>
      <c r="W7" s="26">
        <f t="shared" si="0"/>
        <v>8.8215599999999991E-3</v>
      </c>
      <c r="X7" s="26">
        <f t="shared" si="0"/>
        <v>3.0078399999999999E-3</v>
      </c>
      <c r="Y7" s="26">
        <f t="shared" si="0"/>
        <v>2.43932E-2</v>
      </c>
    </row>
    <row r="8" spans="1:60" x14ac:dyDescent="0.25">
      <c r="B8">
        <v>15</v>
      </c>
      <c r="C8" s="26">
        <v>2.1047000000000001E-3</v>
      </c>
      <c r="D8" s="26">
        <v>7.7439999999999997E-9</v>
      </c>
      <c r="E8" s="26">
        <v>7.3461999999999996E-4</v>
      </c>
      <c r="F8" s="26">
        <v>5.1095999999999997E-3</v>
      </c>
      <c r="G8" s="26">
        <v>5.2477000000000001E-3</v>
      </c>
      <c r="H8" s="26">
        <v>6.5795000000000003E-4</v>
      </c>
      <c r="I8" s="26">
        <v>1.2699E-2</v>
      </c>
      <c r="K8" s="26">
        <v>7.8548999999999996E-5</v>
      </c>
      <c r="L8" s="26">
        <v>1.7265E-9</v>
      </c>
      <c r="M8" s="26">
        <v>1.037E-4</v>
      </c>
      <c r="N8" s="26">
        <v>2.452E-4</v>
      </c>
      <c r="O8" s="26">
        <v>2.587E-4</v>
      </c>
      <c r="P8" s="26">
        <v>1.0005000000000001E-4</v>
      </c>
      <c r="Q8" s="26">
        <v>7.9301999999999997E-4</v>
      </c>
      <c r="S8" s="26">
        <f t="shared" si="0"/>
        <v>2.5759940000000003E-3</v>
      </c>
      <c r="T8" s="26">
        <f t="shared" si="0"/>
        <v>1.8103E-8</v>
      </c>
      <c r="U8" s="26">
        <f t="shared" si="0"/>
        <v>1.3568199999999999E-3</v>
      </c>
      <c r="V8" s="26">
        <f t="shared" si="0"/>
        <v>6.5807999999999995E-3</v>
      </c>
      <c r="W8" s="26">
        <f t="shared" si="0"/>
        <v>6.7999000000000002E-3</v>
      </c>
      <c r="X8" s="26">
        <f t="shared" si="0"/>
        <v>1.25825E-3</v>
      </c>
      <c r="Y8" s="26">
        <f t="shared" si="0"/>
        <v>1.745712E-2</v>
      </c>
      <c r="AB8" s="28" t="s">
        <v>116</v>
      </c>
      <c r="AC8" s="28"/>
      <c r="AD8" s="28"/>
      <c r="AE8" s="28"/>
      <c r="AF8" s="28"/>
      <c r="AG8" s="28"/>
      <c r="AH8" s="23"/>
      <c r="AI8" s="23"/>
      <c r="AK8" s="28" t="s">
        <v>115</v>
      </c>
      <c r="AL8" s="28"/>
      <c r="AM8" s="28"/>
      <c r="AN8" s="28"/>
      <c r="AO8" s="28"/>
      <c r="AP8" s="28"/>
      <c r="AQ8" s="28"/>
      <c r="AS8" s="28" t="s">
        <v>131</v>
      </c>
      <c r="AT8" s="28"/>
      <c r="AU8" s="28"/>
      <c r="AV8" s="28"/>
      <c r="AW8" s="28"/>
      <c r="AX8" s="28"/>
      <c r="AY8" s="23"/>
      <c r="AZ8" s="23"/>
      <c r="BB8" s="28" t="s">
        <v>129</v>
      </c>
      <c r="BC8" s="28"/>
      <c r="BD8" s="28"/>
      <c r="BE8" s="28"/>
      <c r="BF8" s="28"/>
      <c r="BG8" s="28"/>
      <c r="BH8" s="28"/>
    </row>
    <row r="9" spans="1:60" x14ac:dyDescent="0.25">
      <c r="B9">
        <v>10</v>
      </c>
      <c r="C9" s="26">
        <v>2.2495000000000002E-3</v>
      </c>
      <c r="D9" s="26">
        <v>8.3456999999999994E-9</v>
      </c>
      <c r="E9" s="26">
        <v>1.5962999999999999E-4</v>
      </c>
      <c r="F9" s="26">
        <v>4.3013000000000001E-3</v>
      </c>
      <c r="G9" s="26">
        <v>4.3895000000000002E-3</v>
      </c>
      <c r="H9" s="26">
        <v>1.3613000000000001E-4</v>
      </c>
      <c r="I9" s="26">
        <v>9.7032000000000004E-3</v>
      </c>
      <c r="K9" s="26">
        <v>1.0538E-4</v>
      </c>
      <c r="L9" s="26">
        <v>1.8599E-9</v>
      </c>
      <c r="M9" s="26">
        <v>3.0787999999999997E-5</v>
      </c>
      <c r="N9" s="26">
        <v>1.8919999999999999E-4</v>
      </c>
      <c r="O9" s="26">
        <v>1.8201E-4</v>
      </c>
      <c r="P9" s="26">
        <v>2.7447999999999999E-5</v>
      </c>
      <c r="Q9" s="26">
        <v>4.1444000000000002E-4</v>
      </c>
      <c r="S9" s="26">
        <f t="shared" si="0"/>
        <v>2.8817800000000005E-3</v>
      </c>
      <c r="T9" s="26">
        <f t="shared" si="0"/>
        <v>1.95051E-8</v>
      </c>
      <c r="U9" s="26">
        <f t="shared" si="0"/>
        <v>3.4435800000000001E-4</v>
      </c>
      <c r="V9" s="26">
        <f t="shared" si="0"/>
        <v>5.4365000000000004E-3</v>
      </c>
      <c r="W9" s="26">
        <f t="shared" si="0"/>
        <v>5.4815599999999999E-3</v>
      </c>
      <c r="X9" s="26">
        <f t="shared" si="0"/>
        <v>3.0081800000000001E-4</v>
      </c>
      <c r="Y9" s="26">
        <f t="shared" si="0"/>
        <v>1.218984E-2</v>
      </c>
      <c r="AB9" s="25" t="s">
        <v>30</v>
      </c>
      <c r="AC9" s="25" t="s">
        <v>31</v>
      </c>
      <c r="AD9" s="25" t="s">
        <v>32</v>
      </c>
      <c r="AE9" s="25" t="s">
        <v>33</v>
      </c>
      <c r="AF9" s="25" t="s">
        <v>34</v>
      </c>
      <c r="AG9" s="25" t="s">
        <v>44</v>
      </c>
      <c r="AH9" s="25"/>
      <c r="AI9" s="25"/>
      <c r="AK9" s="25" t="s">
        <v>29</v>
      </c>
      <c r="AL9" s="25" t="s">
        <v>30</v>
      </c>
      <c r="AM9" s="25" t="s">
        <v>31</v>
      </c>
      <c r="AN9" s="25" t="s">
        <v>32</v>
      </c>
      <c r="AO9" s="25" t="s">
        <v>33</v>
      </c>
      <c r="AP9" s="25" t="s">
        <v>34</v>
      </c>
      <c r="AQ9" s="25" t="s">
        <v>44</v>
      </c>
      <c r="AS9" s="25" t="s">
        <v>30</v>
      </c>
      <c r="AT9" s="25" t="s">
        <v>31</v>
      </c>
      <c r="AU9" s="25" t="s">
        <v>32</v>
      </c>
      <c r="AV9" s="25" t="s">
        <v>33</v>
      </c>
      <c r="AW9" s="25" t="s">
        <v>34</v>
      </c>
      <c r="AX9" s="25" t="s">
        <v>44</v>
      </c>
      <c r="AY9" s="25"/>
      <c r="AZ9" s="25"/>
      <c r="BB9" s="25" t="s">
        <v>29</v>
      </c>
      <c r="BC9" s="25" t="s">
        <v>30</v>
      </c>
      <c r="BD9" s="25" t="s">
        <v>31</v>
      </c>
      <c r="BE9" s="25" t="s">
        <v>32</v>
      </c>
      <c r="BF9" s="25" t="s">
        <v>33</v>
      </c>
      <c r="BG9" s="25" t="s">
        <v>34</v>
      </c>
      <c r="BH9" s="25" t="s">
        <v>44</v>
      </c>
    </row>
    <row r="10" spans="1:60" x14ac:dyDescent="0.25">
      <c r="B10">
        <v>5</v>
      </c>
      <c r="C10" s="26">
        <v>1.8703000000000001E-3</v>
      </c>
      <c r="D10" s="26">
        <v>2.9475000000000001E-8</v>
      </c>
      <c r="E10" s="26">
        <v>4.9624000000000002E-8</v>
      </c>
      <c r="F10" s="26">
        <v>2.7626E-3</v>
      </c>
      <c r="G10" s="26">
        <v>2.8021000000000001E-3</v>
      </c>
      <c r="H10" s="26">
        <v>7.5789999999999998E-6</v>
      </c>
      <c r="I10" s="26">
        <v>6.0847000000000002E-3</v>
      </c>
      <c r="K10" s="26">
        <v>7.8740999999999997E-5</v>
      </c>
      <c r="L10" s="26">
        <v>6.9003999999999999E-9</v>
      </c>
      <c r="M10" s="26">
        <v>3.5280999999999999E-7</v>
      </c>
      <c r="N10" s="26">
        <v>1.154E-4</v>
      </c>
      <c r="O10" s="26">
        <v>1.1882E-4</v>
      </c>
      <c r="P10" s="26">
        <v>4.8171E-6</v>
      </c>
      <c r="Q10" s="26">
        <v>2.3425E-4</v>
      </c>
      <c r="S10" s="26">
        <f t="shared" si="0"/>
        <v>2.3427460000000002E-3</v>
      </c>
      <c r="T10" s="26">
        <f t="shared" si="0"/>
        <v>7.0877400000000002E-8</v>
      </c>
      <c r="U10" s="26">
        <f t="shared" si="0"/>
        <v>2.1664839999999999E-6</v>
      </c>
      <c r="V10" s="26">
        <f t="shared" si="0"/>
        <v>3.4550000000000002E-3</v>
      </c>
      <c r="W10" s="26">
        <f t="shared" si="0"/>
        <v>3.5150200000000002E-3</v>
      </c>
      <c r="X10" s="26">
        <f t="shared" si="0"/>
        <v>3.64816E-5</v>
      </c>
      <c r="Y10" s="26">
        <f t="shared" si="0"/>
        <v>7.4902000000000007E-3</v>
      </c>
      <c r="AB10" s="9">
        <f t="array" ref="AB10:AF10">LINEST($D$35:$D$41,$B$25:$B$31^{1,2,3,4},TRUE,FALSE)</f>
        <v>2.151187306334194E-7</v>
      </c>
      <c r="AC10" s="9">
        <v>-1.844936226734934E-5</v>
      </c>
      <c r="AD10" s="9">
        <v>3.665727436598111E-4</v>
      </c>
      <c r="AE10" s="9">
        <v>7.8289905239312281E-4</v>
      </c>
      <c r="AF10" s="9">
        <v>-2.4577609239309767E-3</v>
      </c>
      <c r="AG10" s="9">
        <f>($AB$10*$T$1^4)+($AC$10*$T$1^3)+($AD$10*$T$1^2)+($AE$10*$T$1^1)+$AF$10</f>
        <v>1.3482966714671758E-3</v>
      </c>
      <c r="AH10" s="9"/>
      <c r="AI10" s="9"/>
      <c r="AK10">
        <f t="array" ref="AK10:AP10">LINEST($T$35:$T$41,$B$25:$B$31^{1,2,3,4,5},TRUE,FALSE)</f>
        <v>-7.8013521234919859E-8</v>
      </c>
      <c r="AL10" s="9">
        <v>6.061437791163344E-6</v>
      </c>
      <c r="AM10" s="9">
        <v>-1.6691889982221669E-4</v>
      </c>
      <c r="AN10" s="9">
        <v>1.9595497172430133E-3</v>
      </c>
      <c r="AO10" s="9">
        <v>-5.5717595846548401E-3</v>
      </c>
      <c r="AP10" s="9">
        <v>6.1845366710733263E-3</v>
      </c>
      <c r="AQ10" s="9">
        <f>($AK$10*$T$1^5)+($AL$10*$T$1^4)+($AM$10*$T$1^3)+($AN$10*$T$1^2)+($AO$10*$T$1^1)+$AP$10</f>
        <v>2.111802673731189E-2</v>
      </c>
      <c r="AS10" s="9">
        <f t="array" ref="AS10:AW10">LINEST($I$35:$I$41,$B$25:$B$31^{1,2,3,4},TRUE,FALSE)</f>
        <v>4.0535603048136628E-6</v>
      </c>
      <c r="AT10" s="9">
        <v>-2.3895571439005526E-4</v>
      </c>
      <c r="AU10" s="9">
        <v>5.112276192304515E-3</v>
      </c>
      <c r="AV10" s="9">
        <v>-2.5808171386325914E-2</v>
      </c>
      <c r="AW10" s="9">
        <v>5.1174407116947984E-2</v>
      </c>
      <c r="AX10" s="9">
        <f>($AS$10*$T$1^4)+($AT$10*$T$1^3)+($AU$10*$T$1^2)+($AV$10*$T$1^1)+$AW$10</f>
        <v>1.4072971167833532</v>
      </c>
      <c r="AY10" s="9"/>
      <c r="AZ10" s="9"/>
      <c r="BB10">
        <f t="array" ref="BB10:BG10">LINEST($Y$35:$Y$41,$B$25:$B$31^{1,2,3,4,5},TRUE,FALSE)</f>
        <v>7.1782552816319974E-7</v>
      </c>
      <c r="BC10" s="9">
        <v>-5.2282954657819822E-5</v>
      </c>
      <c r="BD10" s="9">
        <v>1.3859971657740223E-3</v>
      </c>
      <c r="BE10" s="9">
        <v>-1.5057196754577028E-2</v>
      </c>
      <c r="BF10" s="9">
        <v>8.1821276565974849E-2</v>
      </c>
      <c r="BG10" s="9">
        <v>-0.12840114507945621</v>
      </c>
      <c r="BH10" s="9">
        <f>($BB$10*$T$1^5)+($BC$10*$T$1^4)+($BD$10*$T$1^3)+($BE$10*$T$1^2)+($BF$10*$T$1^1)+$BG$10</f>
        <v>3.556999136376882</v>
      </c>
    </row>
    <row r="11" spans="1:60" x14ac:dyDescent="0.25">
      <c r="B11">
        <v>2.7</v>
      </c>
      <c r="C11" s="26">
        <v>9.8714000000000007E-4</v>
      </c>
      <c r="D11" s="26">
        <v>2.3164E-7</v>
      </c>
      <c r="E11" s="26">
        <v>2.4873000000000001E-12</v>
      </c>
      <c r="F11" s="26">
        <v>1.1486999999999999E-3</v>
      </c>
      <c r="G11" s="26">
        <v>1.1693999999999999E-3</v>
      </c>
      <c r="H11" s="26">
        <v>-7.2256E-13</v>
      </c>
      <c r="I11" s="26">
        <v>2.9900999999999999E-3</v>
      </c>
      <c r="K11" s="26">
        <v>3.8622999999999999E-5</v>
      </c>
      <c r="L11" s="26">
        <v>3.9838000000000002E-8</v>
      </c>
      <c r="M11" s="26">
        <v>5.2866999999999997E-14</v>
      </c>
      <c r="N11" s="26">
        <v>4.1437999999999999E-5</v>
      </c>
      <c r="O11" s="26">
        <v>4.2274000000000002E-5</v>
      </c>
      <c r="P11" s="26">
        <v>7.3735000000000001E-14</v>
      </c>
      <c r="Q11" s="26">
        <v>1.0808E-4</v>
      </c>
      <c r="S11" s="26">
        <f t="shared" si="0"/>
        <v>1.2188780000000001E-3</v>
      </c>
      <c r="T11" s="26">
        <f t="shared" si="0"/>
        <v>4.7066799999999996E-7</v>
      </c>
      <c r="U11" s="26">
        <f t="shared" si="0"/>
        <v>2.804502E-12</v>
      </c>
      <c r="V11" s="26">
        <f t="shared" si="0"/>
        <v>1.3973279999999998E-3</v>
      </c>
      <c r="W11" s="26">
        <f t="shared" si="0"/>
        <v>1.423044E-3</v>
      </c>
      <c r="X11" s="26">
        <f t="shared" si="0"/>
        <v>-2.8014999999999997E-13</v>
      </c>
      <c r="Y11" s="26">
        <f t="shared" si="0"/>
        <v>3.6385799999999998E-3</v>
      </c>
    </row>
    <row r="13" spans="1:60" x14ac:dyDescent="0.25">
      <c r="C13" s="41" t="s">
        <v>103</v>
      </c>
      <c r="D13" s="41"/>
      <c r="E13" s="41"/>
      <c r="F13" s="41"/>
      <c r="G13" s="41"/>
      <c r="H13" s="41"/>
      <c r="I13" s="41"/>
      <c r="K13" s="41" t="s">
        <v>104</v>
      </c>
      <c r="L13" s="41"/>
      <c r="M13" s="41"/>
      <c r="N13" s="41"/>
      <c r="O13" s="41"/>
      <c r="P13" s="41"/>
      <c r="Q13" s="41"/>
      <c r="S13" s="42" t="s">
        <v>110</v>
      </c>
      <c r="T13" s="41"/>
      <c r="U13" s="41"/>
      <c r="V13" s="41"/>
      <c r="W13" s="41"/>
      <c r="X13" s="41"/>
      <c r="Y13" s="41"/>
      <c r="AB13" s="28" t="s">
        <v>124</v>
      </c>
      <c r="AC13" s="28"/>
      <c r="AD13" s="28"/>
      <c r="AE13" s="28"/>
      <c r="AF13" s="28"/>
      <c r="AG13" s="28"/>
      <c r="AH13" s="23"/>
      <c r="AI13" s="23"/>
      <c r="AJ13" s="23"/>
      <c r="AK13" s="28" t="s">
        <v>126</v>
      </c>
      <c r="AL13" s="28"/>
      <c r="AM13" s="28"/>
      <c r="AN13" s="28"/>
      <c r="AO13" s="28"/>
      <c r="AP13" s="28"/>
      <c r="AQ13" s="28"/>
      <c r="AS13" s="28" t="s">
        <v>132</v>
      </c>
      <c r="AT13" s="28"/>
      <c r="AU13" s="28"/>
      <c r="AV13" s="28"/>
      <c r="AW13" s="28"/>
      <c r="AX13" s="28"/>
      <c r="AY13" s="23"/>
      <c r="AZ13" s="23"/>
      <c r="BA13" s="23"/>
      <c r="BB13" s="28" t="s">
        <v>134</v>
      </c>
      <c r="BC13" s="28"/>
      <c r="BD13" s="28"/>
      <c r="BE13" s="28"/>
      <c r="BF13" s="28"/>
      <c r="BG13" s="28"/>
      <c r="BH13" s="28"/>
    </row>
    <row r="14" spans="1:60" x14ac:dyDescent="0.25">
      <c r="C14" t="s">
        <v>96</v>
      </c>
      <c r="D14" t="s">
        <v>97</v>
      </c>
      <c r="E14" t="s">
        <v>98</v>
      </c>
      <c r="F14" t="s">
        <v>99</v>
      </c>
      <c r="G14" t="s">
        <v>100</v>
      </c>
      <c r="H14" t="s">
        <v>101</v>
      </c>
      <c r="I14" t="s">
        <v>102</v>
      </c>
      <c r="K14" t="s">
        <v>96</v>
      </c>
      <c r="L14" t="s">
        <v>97</v>
      </c>
      <c r="M14" t="s">
        <v>98</v>
      </c>
      <c r="N14" t="s">
        <v>99</v>
      </c>
      <c r="O14" t="s">
        <v>100</v>
      </c>
      <c r="P14" t="s">
        <v>101</v>
      </c>
      <c r="Q14" t="s">
        <v>102</v>
      </c>
      <c r="S14" t="s">
        <v>96</v>
      </c>
      <c r="T14" t="s">
        <v>97</v>
      </c>
      <c r="U14" t="s">
        <v>98</v>
      </c>
      <c r="V14" t="s">
        <v>99</v>
      </c>
      <c r="W14" t="s">
        <v>100</v>
      </c>
      <c r="X14" t="s">
        <v>101</v>
      </c>
      <c r="Y14" t="s">
        <v>102</v>
      </c>
      <c r="AB14" s="25" t="s">
        <v>123</v>
      </c>
      <c r="AC14" s="25" t="s">
        <v>29</v>
      </c>
      <c r="AD14" s="25" t="s">
        <v>30</v>
      </c>
      <c r="AE14" s="25" t="s">
        <v>31</v>
      </c>
      <c r="AF14" s="25" t="s">
        <v>32</v>
      </c>
      <c r="AG14" s="25" t="s">
        <v>33</v>
      </c>
      <c r="AH14" s="25" t="s">
        <v>34</v>
      </c>
      <c r="AI14" s="25" t="s">
        <v>44</v>
      </c>
      <c r="AK14" s="25" t="s">
        <v>29</v>
      </c>
      <c r="AL14" s="25" t="s">
        <v>30</v>
      </c>
      <c r="AM14" s="25" t="s">
        <v>31</v>
      </c>
      <c r="AN14" s="25" t="s">
        <v>32</v>
      </c>
      <c r="AO14" s="25" t="s">
        <v>33</v>
      </c>
      <c r="AP14" s="25" t="s">
        <v>34</v>
      </c>
      <c r="AQ14" s="25" t="s">
        <v>44</v>
      </c>
      <c r="AS14" s="25" t="s">
        <v>123</v>
      </c>
      <c r="AT14" s="25" t="s">
        <v>29</v>
      </c>
      <c r="AU14" s="25" t="s">
        <v>30</v>
      </c>
      <c r="AV14" s="25" t="s">
        <v>31</v>
      </c>
      <c r="AW14" s="25" t="s">
        <v>32</v>
      </c>
      <c r="AX14" s="25" t="s">
        <v>33</v>
      </c>
      <c r="AY14" s="25" t="s">
        <v>34</v>
      </c>
      <c r="AZ14" s="25" t="s">
        <v>44</v>
      </c>
      <c r="BB14" s="25" t="s">
        <v>29</v>
      </c>
      <c r="BC14" s="25" t="s">
        <v>30</v>
      </c>
      <c r="BD14" s="25" t="s">
        <v>31</v>
      </c>
      <c r="BE14" s="25" t="s">
        <v>32</v>
      </c>
      <c r="BF14" s="25" t="s">
        <v>33</v>
      </c>
      <c r="BG14" s="25" t="s">
        <v>34</v>
      </c>
      <c r="BH14" s="25" t="s">
        <v>44</v>
      </c>
    </row>
    <row r="15" spans="1:60" x14ac:dyDescent="0.25">
      <c r="B15">
        <v>36</v>
      </c>
      <c r="C15" s="26">
        <v>1.86E-9</v>
      </c>
      <c r="D15" s="26">
        <v>4.0507999999999999E-5</v>
      </c>
      <c r="E15" s="26">
        <v>1.2730999999999999E-2</v>
      </c>
      <c r="F15" s="26">
        <v>7.1989000000000003E-3</v>
      </c>
      <c r="G15" s="26">
        <v>7.8400999999999992E-3</v>
      </c>
      <c r="H15" s="26">
        <v>1.2345999999999999E-2</v>
      </c>
      <c r="I15" s="26">
        <v>3.9121000000000003E-2</v>
      </c>
      <c r="K15" s="26">
        <v>3.4478E-9</v>
      </c>
      <c r="L15" s="26">
        <v>9.4591000000000003E-5</v>
      </c>
      <c r="M15" s="26">
        <v>1.5299000000000001E-3</v>
      </c>
      <c r="N15" s="26">
        <v>1.0983E-3</v>
      </c>
      <c r="O15" s="26">
        <v>1.3963999999999999E-3</v>
      </c>
      <c r="P15" s="26">
        <v>1.243E-3</v>
      </c>
      <c r="Q15" s="26">
        <v>9.9480999999999997E-3</v>
      </c>
      <c r="S15" s="26">
        <f t="shared" ref="S15:Y21" si="1">C15+($W$1*K15)</f>
        <v>2.2546800000000002E-8</v>
      </c>
      <c r="T15" s="26">
        <f t="shared" si="1"/>
        <v>6.0805400000000002E-4</v>
      </c>
      <c r="U15" s="26">
        <f t="shared" si="1"/>
        <v>2.19104E-2</v>
      </c>
      <c r="V15" s="26">
        <f t="shared" si="1"/>
        <v>1.3788700000000001E-2</v>
      </c>
      <c r="W15" s="26">
        <f t="shared" si="1"/>
        <v>1.6218499999999997E-2</v>
      </c>
      <c r="X15" s="26">
        <f t="shared" si="1"/>
        <v>1.9803999999999999E-2</v>
      </c>
      <c r="Y15" s="26">
        <f t="shared" si="1"/>
        <v>9.8809599999999997E-2</v>
      </c>
      <c r="AB15" s="9">
        <f t="array" ref="AB15:AH15">LINEST($C$5:$C$11,$B$25:$B$31^{1,2,3,4,5,6},TRUE,FALSE)</f>
        <v>-6.5078539066516048E-11</v>
      </c>
      <c r="AC15" s="9">
        <v>8.9654984162335498E-9</v>
      </c>
      <c r="AD15" s="9">
        <v>-4.7852008688930028E-7</v>
      </c>
      <c r="AE15" s="9">
        <v>1.2689855502245691E-5</v>
      </c>
      <c r="AF15" s="9">
        <v>-1.8071956778229758E-4</v>
      </c>
      <c r="AG15">
        <v>1.3022397723231039E-3</v>
      </c>
      <c r="AH15" s="9">
        <v>-1.4370668809108832E-3</v>
      </c>
      <c r="AI15" s="9">
        <f>($AB$15*$T$1^6)+($AC$15*$T$1^5)+($AD$15*$T$1^4)+($AE$15*$T$1^3)+($AF$15*$T$1^2)+($AG$15*$T$1^1)+$AH$15</f>
        <v>6.5000000002320146E-6</v>
      </c>
      <c r="AJ15" s="9"/>
      <c r="AK15">
        <f t="array" ref="AK15:AP15">LINEST($S$5:$S$11,$B$25:$B$31^{1,2,3,4,5},TRUE,FALSE)</f>
        <v>9.5525818870333553E-10</v>
      </c>
      <c r="AL15" s="9">
        <v>-1.4793785713573909E-7</v>
      </c>
      <c r="AM15" s="9">
        <v>7.3177737305472534E-6</v>
      </c>
      <c r="AN15" s="9">
        <v>-1.5323566935900588E-4</v>
      </c>
      <c r="AO15" s="9">
        <v>1.3777506744732141E-3</v>
      </c>
      <c r="AP15" s="9">
        <v>-1.5261295044940518E-3</v>
      </c>
      <c r="AQ15" s="9">
        <f>($AK$15*$T$1^5)+($AL$15*$T$1^4)+($AM$15*$T$1^3)+($AN$15*$T$1^2)+($AO$15*$T$1^1)+$AP$15</f>
        <v>1.7953637235824937E-4</v>
      </c>
      <c r="AS15" s="9">
        <f t="array" ref="AS15:AY15">LINEST($I$5:$I$11,$B$25:$B$31^{1,2,3,4,5,6},TRUE,FALSE)</f>
        <v>-7.5741168005642487E-11</v>
      </c>
      <c r="AT15" s="9">
        <v>1.7311278336346084E-8</v>
      </c>
      <c r="AU15" s="9">
        <v>-1.0784333990183309E-6</v>
      </c>
      <c r="AV15" s="9">
        <v>2.9827052087934596E-5</v>
      </c>
      <c r="AW15" s="9">
        <v>-4.1374776230441399E-4</v>
      </c>
      <c r="AX15">
        <v>3.4117504670214379E-3</v>
      </c>
      <c r="AY15" s="9">
        <v>-3.7376332031533108E-3</v>
      </c>
      <c r="AZ15" s="9">
        <f>($AS$15*$T$1^6)+($AT$15*$T$1^5)+($AU$15*$T$1^4)+($AV$15*$T$1^3)+($AW$15*$T$1^2)+($AX$15*$T$1^1)+$AY$15</f>
        <v>4.5000000000000311E-2</v>
      </c>
      <c r="BA15" s="9"/>
      <c r="BB15">
        <f t="array" ref="BB15:BG15">LINEST($Y$5:$Y$11,$B$25:$B$31^{1,2,3,4,5},TRUE,FALSE)</f>
        <v>2.3601788969919442E-8</v>
      </c>
      <c r="BC15" s="9">
        <v>-1.8364811361188297E-6</v>
      </c>
      <c r="BD15" s="9">
        <v>5.391235183726794E-5</v>
      </c>
      <c r="BE15" s="9">
        <v>-7.1573868018223426E-4</v>
      </c>
      <c r="BF15" s="9">
        <v>5.1903968816623246E-3</v>
      </c>
      <c r="BG15" s="9">
        <v>-6.156372445120184E-3</v>
      </c>
      <c r="BH15" s="9">
        <f>($BB$15*$T$1^5)+($BC$15*$T$1^4)+($BD$15*$T$1^3)+($BE$15*$T$1^2)+($BF$15*$T$1^1)+$BG$15</f>
        <v>0.11096209894476455</v>
      </c>
    </row>
    <row r="16" spans="1:60" x14ac:dyDescent="0.25">
      <c r="B16">
        <v>30</v>
      </c>
      <c r="C16" s="26">
        <v>5.8034E-9</v>
      </c>
      <c r="D16" s="26">
        <v>9.3504999999999999E-4</v>
      </c>
      <c r="E16" s="26">
        <v>9.1021999999999995E-3</v>
      </c>
      <c r="F16" s="26">
        <v>4.1383000000000001E-3</v>
      </c>
      <c r="G16" s="26">
        <v>4.2778E-3</v>
      </c>
      <c r="H16" s="26">
        <v>9.0886999999999999E-3</v>
      </c>
      <c r="I16" s="26">
        <v>2.3528E-2</v>
      </c>
      <c r="K16" s="26">
        <v>1.7556E-9</v>
      </c>
      <c r="L16" s="26">
        <v>4.8138E-4</v>
      </c>
      <c r="M16" s="26">
        <v>1.0568999999999999E-3</v>
      </c>
      <c r="N16" s="26">
        <v>8.9181000000000004E-4</v>
      </c>
      <c r="O16" s="26">
        <v>9.0802999999999999E-4</v>
      </c>
      <c r="P16" s="26">
        <v>1.0560999999999999E-3</v>
      </c>
      <c r="Q16" s="26">
        <v>3.2445E-3</v>
      </c>
      <c r="S16" s="26">
        <f t="shared" si="1"/>
        <v>1.6336999999999999E-8</v>
      </c>
      <c r="T16" s="26">
        <f t="shared" si="1"/>
        <v>3.8233299999999998E-3</v>
      </c>
      <c r="U16" s="26">
        <f t="shared" si="1"/>
        <v>1.5443599999999998E-2</v>
      </c>
      <c r="V16" s="26">
        <f t="shared" si="1"/>
        <v>9.48916E-3</v>
      </c>
      <c r="W16" s="26">
        <f t="shared" si="1"/>
        <v>9.7259800000000004E-3</v>
      </c>
      <c r="X16" s="26">
        <f t="shared" si="1"/>
        <v>1.5425299999999999E-2</v>
      </c>
      <c r="Y16" s="26">
        <f t="shared" si="1"/>
        <v>4.2994999999999998E-2</v>
      </c>
    </row>
    <row r="17" spans="1:60" x14ac:dyDescent="0.25">
      <c r="B17">
        <v>20</v>
      </c>
      <c r="C17" s="26">
        <v>3.5884000000000001E-9</v>
      </c>
      <c r="D17" s="26">
        <v>2.5175000000000002E-3</v>
      </c>
      <c r="E17" s="26">
        <v>6.084E-3</v>
      </c>
      <c r="F17" s="26">
        <v>1.4936000000000001E-3</v>
      </c>
      <c r="G17" s="26">
        <v>1.4706000000000001E-3</v>
      </c>
      <c r="H17" s="26">
        <v>6.1764999999999997E-3</v>
      </c>
      <c r="I17" s="26">
        <v>1.6372000000000001E-2</v>
      </c>
      <c r="K17" s="26">
        <v>4.1538000000000002E-10</v>
      </c>
      <c r="L17" s="26">
        <v>1.3872999999999999E-4</v>
      </c>
      <c r="M17" s="26">
        <v>3.9284999999999998E-4</v>
      </c>
      <c r="N17" s="26">
        <v>2.8519999999999999E-4</v>
      </c>
      <c r="O17" s="26">
        <v>2.5249000000000002E-4</v>
      </c>
      <c r="P17" s="26">
        <v>4.3779000000000002E-4</v>
      </c>
      <c r="Q17" s="26">
        <v>1.5181000000000001E-3</v>
      </c>
      <c r="S17" s="26">
        <f t="shared" si="1"/>
        <v>6.0806800000000006E-9</v>
      </c>
      <c r="T17" s="26">
        <f t="shared" si="1"/>
        <v>3.3498800000000004E-3</v>
      </c>
      <c r="U17" s="26">
        <f t="shared" si="1"/>
        <v>8.4411E-3</v>
      </c>
      <c r="V17" s="26">
        <f t="shared" si="1"/>
        <v>3.2047999999999998E-3</v>
      </c>
      <c r="W17" s="26">
        <f t="shared" si="1"/>
        <v>2.9855400000000001E-3</v>
      </c>
      <c r="X17" s="26">
        <f t="shared" si="1"/>
        <v>8.8032400000000004E-3</v>
      </c>
      <c r="Y17" s="26">
        <f t="shared" si="1"/>
        <v>2.5480600000000003E-2</v>
      </c>
    </row>
    <row r="18" spans="1:60" x14ac:dyDescent="0.25">
      <c r="B18">
        <v>15</v>
      </c>
      <c r="C18" s="26">
        <v>2.9529E-9</v>
      </c>
      <c r="D18" s="26">
        <v>2.8743000000000002E-3</v>
      </c>
      <c r="E18" s="26">
        <v>5.1010999999999999E-3</v>
      </c>
      <c r="F18" s="26">
        <v>7.4901999999999998E-4</v>
      </c>
      <c r="G18" s="26">
        <v>6.5014999999999995E-4</v>
      </c>
      <c r="H18" s="26">
        <v>5.2621999999999999E-3</v>
      </c>
      <c r="I18" s="26">
        <v>1.35E-2</v>
      </c>
      <c r="K18" s="26">
        <v>4.2317999999999998E-10</v>
      </c>
      <c r="L18" s="26">
        <v>1.1084E-4</v>
      </c>
      <c r="M18" s="26">
        <v>2.4538000000000001E-4</v>
      </c>
      <c r="N18" s="26">
        <v>1.0412999999999999E-4</v>
      </c>
      <c r="O18" s="26">
        <v>9.8023000000000007E-5</v>
      </c>
      <c r="P18" s="26">
        <v>2.5981000000000002E-4</v>
      </c>
      <c r="Q18" s="26">
        <v>8.2735000000000003E-4</v>
      </c>
      <c r="S18" s="26">
        <f t="shared" si="1"/>
        <v>5.4919799999999999E-9</v>
      </c>
      <c r="T18" s="26">
        <f t="shared" si="1"/>
        <v>3.5393400000000002E-3</v>
      </c>
      <c r="U18" s="26">
        <f t="shared" si="1"/>
        <v>6.5733800000000002E-3</v>
      </c>
      <c r="V18" s="26">
        <f t="shared" si="1"/>
        <v>1.3737999999999999E-3</v>
      </c>
      <c r="W18" s="26">
        <f t="shared" si="1"/>
        <v>1.2382879999999999E-3</v>
      </c>
      <c r="X18" s="26">
        <f t="shared" si="1"/>
        <v>6.8210600000000003E-3</v>
      </c>
      <c r="Y18" s="26">
        <f t="shared" si="1"/>
        <v>1.8464100000000001E-2</v>
      </c>
      <c r="AB18" s="28" t="s">
        <v>125</v>
      </c>
      <c r="AC18" s="28"/>
      <c r="AD18" s="28"/>
      <c r="AE18" s="28"/>
      <c r="AF18" s="28"/>
      <c r="AG18" s="28"/>
      <c r="AH18" s="23"/>
      <c r="AI18" s="23"/>
      <c r="AK18" s="28" t="s">
        <v>127</v>
      </c>
      <c r="AL18" s="28"/>
      <c r="AM18" s="28"/>
      <c r="AN18" s="28"/>
      <c r="AO18" s="28"/>
      <c r="AP18" s="28"/>
      <c r="AQ18" s="28"/>
      <c r="AS18" s="28" t="s">
        <v>133</v>
      </c>
      <c r="AT18" s="28"/>
      <c r="AU18" s="28"/>
      <c r="AV18" s="28"/>
      <c r="AW18" s="28"/>
      <c r="AX18" s="28"/>
      <c r="AY18" s="23"/>
      <c r="AZ18" s="23"/>
      <c r="BB18" s="28" t="s">
        <v>135</v>
      </c>
      <c r="BC18" s="28"/>
      <c r="BD18" s="28"/>
      <c r="BE18" s="28"/>
      <c r="BF18" s="28"/>
      <c r="BG18" s="28"/>
      <c r="BH18" s="28"/>
    </row>
    <row r="19" spans="1:60" x14ac:dyDescent="0.25">
      <c r="B19">
        <v>10</v>
      </c>
      <c r="C19" s="26">
        <v>3.0217E-9</v>
      </c>
      <c r="D19" s="26">
        <v>2.9356E-3</v>
      </c>
      <c r="E19" s="26">
        <v>4.2957999999999998E-3</v>
      </c>
      <c r="F19" s="26">
        <v>1.7201E-4</v>
      </c>
      <c r="G19" s="26">
        <v>1.3103999999999999E-4</v>
      </c>
      <c r="H19" s="26">
        <v>4.4031000000000001E-3</v>
      </c>
      <c r="I19" s="26">
        <v>1.0426E-2</v>
      </c>
      <c r="K19" s="26">
        <v>5.1835999999999996E-10</v>
      </c>
      <c r="L19" s="26">
        <v>1.0511E-4</v>
      </c>
      <c r="M19" s="26">
        <v>1.9024999999999999E-4</v>
      </c>
      <c r="N19" s="26">
        <v>3.1155999999999998E-5</v>
      </c>
      <c r="O19" s="26">
        <v>2.6491000000000001E-5</v>
      </c>
      <c r="P19" s="26">
        <v>1.8246000000000001E-4</v>
      </c>
      <c r="Q19" s="26">
        <v>4.1824000000000001E-4</v>
      </c>
      <c r="S19" s="26">
        <f t="shared" si="1"/>
        <v>6.13186E-9</v>
      </c>
      <c r="T19" s="26">
        <f t="shared" si="1"/>
        <v>3.5662599999999999E-3</v>
      </c>
      <c r="U19" s="26">
        <f t="shared" si="1"/>
        <v>5.4372999999999999E-3</v>
      </c>
      <c r="V19" s="26">
        <f t="shared" si="1"/>
        <v>3.5894599999999996E-4</v>
      </c>
      <c r="W19" s="26">
        <f t="shared" si="1"/>
        <v>2.89986E-4</v>
      </c>
      <c r="X19" s="26">
        <f t="shared" si="1"/>
        <v>5.4978600000000002E-3</v>
      </c>
      <c r="Y19" s="26">
        <f t="shared" si="1"/>
        <v>1.2935439999999999E-2</v>
      </c>
      <c r="AB19" s="25" t="s">
        <v>30</v>
      </c>
      <c r="AC19" s="25" t="s">
        <v>31</v>
      </c>
      <c r="AD19" s="25" t="s">
        <v>32</v>
      </c>
      <c r="AE19" s="25" t="s">
        <v>33</v>
      </c>
      <c r="AF19" s="25" t="s">
        <v>34</v>
      </c>
      <c r="AG19" s="25" t="s">
        <v>44</v>
      </c>
      <c r="AH19" s="25"/>
      <c r="AI19" s="25"/>
      <c r="AK19" s="25" t="s">
        <v>29</v>
      </c>
      <c r="AL19" s="25" t="s">
        <v>30</v>
      </c>
      <c r="AM19" s="25" t="s">
        <v>31</v>
      </c>
      <c r="AN19" s="25" t="s">
        <v>32</v>
      </c>
      <c r="AO19" s="25" t="s">
        <v>33</v>
      </c>
      <c r="AP19" s="25" t="s">
        <v>34</v>
      </c>
      <c r="AQ19" s="25" t="s">
        <v>44</v>
      </c>
      <c r="AS19" s="25" t="s">
        <v>30</v>
      </c>
      <c r="AT19" s="25" t="s">
        <v>31</v>
      </c>
      <c r="AU19" s="25" t="s">
        <v>32</v>
      </c>
      <c r="AV19" s="25" t="s">
        <v>33</v>
      </c>
      <c r="AW19" s="25" t="s">
        <v>34</v>
      </c>
      <c r="AX19" s="25" t="s">
        <v>44</v>
      </c>
      <c r="AY19" s="25"/>
      <c r="AZ19" s="25"/>
      <c r="BB19" s="25" t="s">
        <v>29</v>
      </c>
      <c r="BC19" s="25" t="s">
        <v>30</v>
      </c>
      <c r="BD19" s="25" t="s">
        <v>31</v>
      </c>
      <c r="BE19" s="25" t="s">
        <v>32</v>
      </c>
      <c r="BF19" s="25" t="s">
        <v>33</v>
      </c>
      <c r="BG19" s="25" t="s">
        <v>34</v>
      </c>
      <c r="BH19" s="25" t="s">
        <v>44</v>
      </c>
    </row>
    <row r="20" spans="1:60" x14ac:dyDescent="0.25">
      <c r="B20">
        <v>5</v>
      </c>
      <c r="C20" s="26">
        <v>1.1332E-8</v>
      </c>
      <c r="D20" s="26">
        <v>2.2555000000000001E-3</v>
      </c>
      <c r="E20" s="26">
        <v>2.7845999999999999E-3</v>
      </c>
      <c r="F20" s="26">
        <v>1.2407E-6</v>
      </c>
      <c r="G20" s="26">
        <v>2.3279000000000002E-6</v>
      </c>
      <c r="H20" s="26">
        <v>2.8408999999999999E-3</v>
      </c>
      <c r="I20" s="26">
        <v>6.5154000000000002E-3</v>
      </c>
      <c r="K20" s="26">
        <v>2.1446999999999998E-9</v>
      </c>
      <c r="L20" s="26">
        <v>8.7732999999999995E-5</v>
      </c>
      <c r="M20" s="26">
        <v>1.0801E-4</v>
      </c>
      <c r="N20" s="26">
        <v>2.0955000000000001E-6</v>
      </c>
      <c r="O20" s="26">
        <v>3.4755999999999998E-6</v>
      </c>
      <c r="P20" s="26">
        <v>1.1124999999999999E-4</v>
      </c>
      <c r="Q20" s="26">
        <v>2.398E-4</v>
      </c>
      <c r="S20" s="26">
        <f t="shared" si="1"/>
        <v>2.4200199999999999E-8</v>
      </c>
      <c r="T20" s="26">
        <f t="shared" si="1"/>
        <v>2.7818980000000001E-3</v>
      </c>
      <c r="U20" s="26">
        <f t="shared" si="1"/>
        <v>3.4326599999999997E-3</v>
      </c>
      <c r="V20" s="26">
        <f t="shared" si="1"/>
        <v>1.38137E-5</v>
      </c>
      <c r="W20" s="26">
        <f t="shared" si="1"/>
        <v>2.3181500000000002E-5</v>
      </c>
      <c r="X20" s="26">
        <f t="shared" si="1"/>
        <v>3.5084000000000001E-3</v>
      </c>
      <c r="Y20" s="26">
        <f t="shared" si="1"/>
        <v>7.9541999999999998E-3</v>
      </c>
      <c r="AB20" s="9">
        <f t="array" ref="AB20:AF20">LINEST($D$15:$D$21,$B$25:$B$31^{1,2,3,4},TRUE,FALSE)</f>
        <v>-1.0977833781951133E-8</v>
      </c>
      <c r="AC20" s="9">
        <v>1.1834890843796829E-6</v>
      </c>
      <c r="AD20" s="9">
        <v>-4.780580061069875E-5</v>
      </c>
      <c r="AE20" s="9">
        <v>7.1131755422278967E-4</v>
      </c>
      <c r="AF20" s="9">
        <v>-4.011718871284875E-4</v>
      </c>
      <c r="AG20" s="9">
        <f>($AB$20*$T$1^4)+($AC$20*$T$1^3)+($AD$20*$T$1^2)+($AE$20*$T$1^1)+$AF$20</f>
        <v>2.8263928739204192E-5</v>
      </c>
      <c r="AH20" s="9"/>
      <c r="AI20" s="9"/>
      <c r="AK20">
        <f t="array" ref="AK20:AP20">LINEST($T$15:$T$21,$B$25:$B$31^{1,2,3,4,5},TRUE,FALSE)</f>
        <v>-3.8933202187605756E-10</v>
      </c>
      <c r="AL20" s="9">
        <v>-3.2392854046924385E-8</v>
      </c>
      <c r="AM20" s="9">
        <v>3.9076815589308232E-6</v>
      </c>
      <c r="AN20" s="9">
        <v>-1.1498618403178226E-4</v>
      </c>
      <c r="AO20" s="9">
        <v>1.2946276253418796E-3</v>
      </c>
      <c r="AP20" s="9">
        <v>-1.3427992736914172E-3</v>
      </c>
      <c r="AQ20" s="9">
        <f>($AK$20*$T$1^5)+($AL$20*$T$1^4)+($AM$20*$T$1^3)+($AN$20*$T$1^2)+($AO$20*$T$1^1)+$AP$20</f>
        <v>6.0951704683045137E-4</v>
      </c>
      <c r="AS20" s="9">
        <f t="array" ref="AS20:AW20">LINEST($I$15:$I$21,$B$25:$B$31^{1,2,3,4},TRUE,FALSE)</f>
        <v>7.2743371721076952E-8</v>
      </c>
      <c r="AT20" s="9">
        <v>-3.1519437570029096E-6</v>
      </c>
      <c r="AU20" s="9">
        <v>1.9474901881478198E-5</v>
      </c>
      <c r="AV20" s="9">
        <v>1.0611209153985426E-3</v>
      </c>
      <c r="AW20" s="9">
        <v>5.0858877098628255E-4</v>
      </c>
      <c r="AX20" s="9">
        <f>($AS$20*$T$1^4)+($AT$20*$T$1^3)+($AU$20*$T$1^2)+($AV$20*$T$1^1)+$AW$20</f>
        <v>3.9072257673670188E-2</v>
      </c>
      <c r="AY20" s="9"/>
      <c r="AZ20" s="9"/>
      <c r="BB20">
        <f t="array" ref="BB20:BG20">LINEST($Y$15:$Y$21,$B$25:$B$31^{1,2,3,4,5},TRUE,FALSE)</f>
        <v>2.5468288343960482E-8</v>
      </c>
      <c r="BC20" s="9">
        <v>-2.0234684832490039E-6</v>
      </c>
      <c r="BD20" s="9">
        <v>5.9736964957734897E-5</v>
      </c>
      <c r="BE20" s="9">
        <v>-7.9285228640244682E-4</v>
      </c>
      <c r="BF20" s="9">
        <v>5.6885405030307687E-3</v>
      </c>
      <c r="BG20" s="9">
        <v>-6.8515119512397304E-3</v>
      </c>
      <c r="BH20" s="9">
        <f>($BB$20*$T$1^5)+($BC$20*$T$1^4)+($BD$20*$T$1^3)+($BE$20*$T$1^2)+($BF$20*$T$1^1)+$BG$20</f>
        <v>9.880718551228021E-2</v>
      </c>
    </row>
    <row r="21" spans="1:60" x14ac:dyDescent="0.25">
      <c r="B21">
        <v>2.7</v>
      </c>
      <c r="C21" s="26">
        <v>1.166E-7</v>
      </c>
      <c r="D21" s="26">
        <v>1.1103E-3</v>
      </c>
      <c r="E21" s="26">
        <v>1.1283E-3</v>
      </c>
      <c r="F21" s="26">
        <v>2.7923000000000001E-12</v>
      </c>
      <c r="G21" s="26">
        <v>-8.4684999999999997E-13</v>
      </c>
      <c r="H21" s="26">
        <v>1.157E-3</v>
      </c>
      <c r="I21" s="26">
        <v>3.1483000000000001E-3</v>
      </c>
      <c r="K21" s="26">
        <v>1.9548999999999999E-8</v>
      </c>
      <c r="L21" s="26">
        <v>4.2484999999999997E-5</v>
      </c>
      <c r="M21" s="26">
        <v>4.0259999999999997E-5</v>
      </c>
      <c r="N21" s="26">
        <v>5.2817E-14</v>
      </c>
      <c r="O21" s="26">
        <v>5.8886999999999999E-14</v>
      </c>
      <c r="P21" s="26">
        <v>4.1464999999999997E-5</v>
      </c>
      <c r="Q21" s="26">
        <v>1.1525E-4</v>
      </c>
      <c r="S21" s="26">
        <f t="shared" si="1"/>
        <v>2.3389399999999999E-7</v>
      </c>
      <c r="T21" s="26">
        <f t="shared" si="1"/>
        <v>1.3652099999999999E-3</v>
      </c>
      <c r="U21" s="26">
        <f t="shared" si="1"/>
        <v>1.3698600000000001E-3</v>
      </c>
      <c r="V21" s="26">
        <f t="shared" si="1"/>
        <v>3.1092020000000001E-12</v>
      </c>
      <c r="W21" s="26">
        <f t="shared" si="1"/>
        <v>-4.9352799999999997E-13</v>
      </c>
      <c r="X21" s="26">
        <f t="shared" si="1"/>
        <v>1.4057900000000001E-3</v>
      </c>
      <c r="Y21" s="26">
        <f t="shared" si="1"/>
        <v>3.8398E-3</v>
      </c>
    </row>
    <row r="23" spans="1:60" x14ac:dyDescent="0.25">
      <c r="C23" s="41" t="s">
        <v>105</v>
      </c>
      <c r="D23" s="41"/>
      <c r="E23" s="41"/>
      <c r="F23" s="41"/>
      <c r="G23" s="41"/>
      <c r="H23" s="41"/>
      <c r="I23" s="41"/>
      <c r="K23" s="41" t="s">
        <v>106</v>
      </c>
      <c r="L23" s="41"/>
      <c r="M23" s="41"/>
      <c r="N23" s="41"/>
      <c r="O23" s="41"/>
      <c r="P23" s="41"/>
      <c r="Q23" s="41"/>
      <c r="S23" s="42" t="s">
        <v>111</v>
      </c>
      <c r="T23" s="41"/>
      <c r="U23" s="41"/>
      <c r="V23" s="41"/>
      <c r="W23" s="41"/>
      <c r="X23" s="41"/>
      <c r="Y23" s="41"/>
    </row>
    <row r="24" spans="1:60" x14ac:dyDescent="0.25">
      <c r="C24" t="s">
        <v>96</v>
      </c>
      <c r="D24" t="s">
        <v>97</v>
      </c>
      <c r="E24" t="s">
        <v>98</v>
      </c>
      <c r="F24" t="s">
        <v>99</v>
      </c>
      <c r="G24" t="s">
        <v>100</v>
      </c>
      <c r="H24" t="s">
        <v>101</v>
      </c>
      <c r="I24" t="s">
        <v>102</v>
      </c>
      <c r="K24" t="s">
        <v>96</v>
      </c>
      <c r="L24" t="s">
        <v>97</v>
      </c>
      <c r="M24" t="s">
        <v>98</v>
      </c>
      <c r="N24" t="s">
        <v>99</v>
      </c>
      <c r="O24" t="s">
        <v>100</v>
      </c>
      <c r="P24" t="s">
        <v>101</v>
      </c>
      <c r="Q24" t="s">
        <v>102</v>
      </c>
      <c r="S24" t="s">
        <v>96</v>
      </c>
      <c r="T24" t="s">
        <v>97</v>
      </c>
      <c r="U24" t="s">
        <v>98</v>
      </c>
      <c r="V24" t="s">
        <v>99</v>
      </c>
      <c r="W24" t="s">
        <v>100</v>
      </c>
      <c r="X24" t="s">
        <v>101</v>
      </c>
      <c r="Y24" t="s">
        <v>102</v>
      </c>
      <c r="AB24" s="41" t="s">
        <v>117</v>
      </c>
      <c r="AC24" s="41"/>
      <c r="AG24" s="41" t="s">
        <v>119</v>
      </c>
      <c r="AH24" s="41"/>
      <c r="AI24" s="41"/>
      <c r="AJ24" s="41"/>
    </row>
    <row r="25" spans="1:60" x14ac:dyDescent="0.25">
      <c r="B25">
        <v>36</v>
      </c>
      <c r="C25" s="26">
        <v>2.2588999999999999E-4</v>
      </c>
      <c r="D25" s="26">
        <v>1.3391000000000001E-7</v>
      </c>
      <c r="E25" s="26">
        <v>0.12745999999999999</v>
      </c>
      <c r="F25" s="26">
        <v>0.17524000000000001</v>
      </c>
      <c r="G25" s="26">
        <v>0.2</v>
      </c>
      <c r="H25" s="26">
        <v>0.15972</v>
      </c>
      <c r="I25" s="26">
        <v>1.6315999999999999</v>
      </c>
      <c r="K25" s="26">
        <v>1.0034E-3</v>
      </c>
      <c r="L25" s="26">
        <v>3.2758000000000003E-7</v>
      </c>
      <c r="M25" s="26">
        <v>1.7783E-2</v>
      </c>
      <c r="N25" s="26">
        <v>2.1832000000000001E-2</v>
      </c>
      <c r="O25" s="26">
        <v>1.796E-2</v>
      </c>
      <c r="P25" s="26">
        <v>3.1209000000000001E-2</v>
      </c>
      <c r="Q25" s="26">
        <v>0.39577000000000001</v>
      </c>
      <c r="S25" s="26">
        <f t="shared" ref="S25:Y31" si="2">C25+($W$1*K25)</f>
        <v>6.2462900000000007E-3</v>
      </c>
      <c r="T25" s="26">
        <f t="shared" si="2"/>
        <v>2.0993900000000003E-6</v>
      </c>
      <c r="U25" s="26">
        <f t="shared" si="2"/>
        <v>0.23415799999999998</v>
      </c>
      <c r="V25" s="26">
        <f t="shared" si="2"/>
        <v>0.306232</v>
      </c>
      <c r="W25" s="26">
        <f t="shared" si="2"/>
        <v>0.30776000000000003</v>
      </c>
      <c r="X25" s="26">
        <f t="shared" si="2"/>
        <v>0.346974</v>
      </c>
      <c r="Y25" s="26">
        <f t="shared" si="2"/>
        <v>4.0062199999999999</v>
      </c>
      <c r="AC25" t="s">
        <v>96</v>
      </c>
      <c r="AD25" t="s">
        <v>121</v>
      </c>
      <c r="AE25" t="s">
        <v>122</v>
      </c>
      <c r="AH25" t="s">
        <v>96</v>
      </c>
      <c r="AI25" t="s">
        <v>121</v>
      </c>
      <c r="AJ25" t="s">
        <v>122</v>
      </c>
      <c r="AT25" s="1"/>
      <c r="AU25" s="1"/>
      <c r="AV25" s="28" t="s">
        <v>71</v>
      </c>
      <c r="AW25" s="28"/>
      <c r="AX25" s="28"/>
      <c r="AY25" s="28"/>
    </row>
    <row r="26" spans="1:60" x14ac:dyDescent="0.25">
      <c r="B26">
        <v>30</v>
      </c>
      <c r="C26" s="26">
        <v>1.2272999999999999E-2</v>
      </c>
      <c r="D26" s="26">
        <v>5.5726E-7</v>
      </c>
      <c r="E26" s="26">
        <v>6.3783999999999993E-2</v>
      </c>
      <c r="F26" s="26">
        <v>0.10065</v>
      </c>
      <c r="G26" s="26">
        <v>0.12169000000000001</v>
      </c>
      <c r="H26" s="26">
        <v>7.2493000000000002E-2</v>
      </c>
      <c r="I26" s="26">
        <v>0.70470999999999995</v>
      </c>
      <c r="K26" s="26">
        <v>1.1658999999999999E-2</v>
      </c>
      <c r="L26" s="26">
        <v>3.347E-7</v>
      </c>
      <c r="M26" s="26">
        <v>1.4026E-2</v>
      </c>
      <c r="N26" s="26">
        <v>1.1469E-2</v>
      </c>
      <c r="O26" s="26">
        <v>1.3813000000000001E-2</v>
      </c>
      <c r="P26" s="26">
        <v>1.5520000000000001E-2</v>
      </c>
      <c r="Q26" s="26">
        <v>0.11749999999999999</v>
      </c>
      <c r="S26" s="26">
        <f t="shared" si="2"/>
        <v>8.2226999999999995E-2</v>
      </c>
      <c r="T26" s="26">
        <f t="shared" si="2"/>
        <v>2.56546E-6</v>
      </c>
      <c r="U26" s="26">
        <f t="shared" si="2"/>
        <v>0.14794000000000002</v>
      </c>
      <c r="V26" s="26">
        <f t="shared" si="2"/>
        <v>0.169464</v>
      </c>
      <c r="W26" s="26">
        <f t="shared" si="2"/>
        <v>0.20456800000000003</v>
      </c>
      <c r="X26" s="26">
        <f t="shared" si="2"/>
        <v>0.16561300000000001</v>
      </c>
      <c r="Y26" s="26">
        <f t="shared" si="2"/>
        <v>1.40971</v>
      </c>
      <c r="AB26">
        <v>36</v>
      </c>
      <c r="AC26" s="26">
        <v>2.2588999999999999E-4</v>
      </c>
      <c r="AD26" s="9">
        <f>($AB$5*$AB26^6)+($AC$5*$AB26^5)+($AD$5*$AB26^4)+($AE$5*$AB26^3)+($AF$5*$AB26^2)+($AG$5*$AB26^1)+$AH$5</f>
        <v>2.2589000000108883E-4</v>
      </c>
      <c r="AE26" s="6">
        <f>(AC26-AD26)/AC26</f>
        <v>-4.8202095567439016E-12</v>
      </c>
      <c r="AG26">
        <v>36</v>
      </c>
      <c r="AH26" s="26">
        <f>S25</f>
        <v>6.2462900000000007E-3</v>
      </c>
      <c r="AI26" s="9">
        <f>($AK$5*$AG26^5)+($AL$5*$AG26^4)+($AM$5*$AG26^3)+($AN$5*$AG26^2)+($AO$5*$AG26^1)+$AP$5</f>
        <v>6.2487656485421261E-3</v>
      </c>
      <c r="AJ26" s="6">
        <f>(AH26-AI26)/AH26</f>
        <v>-3.9633903359040829E-4</v>
      </c>
      <c r="AT26" s="1"/>
      <c r="AU26" s="1"/>
      <c r="AV26" s="28" t="s">
        <v>69</v>
      </c>
      <c r="AW26" s="28"/>
      <c r="AX26" s="28" t="s">
        <v>70</v>
      </c>
      <c r="AY26" s="28"/>
    </row>
    <row r="27" spans="1:60" x14ac:dyDescent="0.25">
      <c r="A27" s="26">
        <v>3.3855999999999997E-2</v>
      </c>
      <c r="B27">
        <v>20</v>
      </c>
      <c r="C27" s="26">
        <v>2.9756000000000001E-2</v>
      </c>
      <c r="D27" s="26">
        <v>1.7839E-7</v>
      </c>
      <c r="E27" s="26">
        <v>1.5817999999999999E-2</v>
      </c>
      <c r="F27" s="26">
        <v>4.0391000000000003E-2</v>
      </c>
      <c r="G27" s="26">
        <v>5.0049000000000003E-2</v>
      </c>
      <c r="H27" s="26">
        <v>1.7527000000000001E-2</v>
      </c>
      <c r="I27" s="26">
        <v>0.31228</v>
      </c>
      <c r="K27" s="26">
        <v>2.7560000000000002E-3</v>
      </c>
      <c r="L27" s="26">
        <v>3.7764E-8</v>
      </c>
      <c r="M27" s="26">
        <v>3.1342000000000002E-3</v>
      </c>
      <c r="N27" s="26">
        <v>2.5019E-3</v>
      </c>
      <c r="O27" s="26">
        <v>3.3815E-3</v>
      </c>
      <c r="P27" s="26">
        <v>3.0647999999999999E-3</v>
      </c>
      <c r="Q27" s="26">
        <v>2.9263999999999998E-2</v>
      </c>
      <c r="S27" s="26">
        <f t="shared" si="2"/>
        <v>4.6292E-2</v>
      </c>
      <c r="T27" s="26">
        <f t="shared" si="2"/>
        <v>4.0497400000000001E-7</v>
      </c>
      <c r="U27" s="26">
        <f t="shared" si="2"/>
        <v>3.46232E-2</v>
      </c>
      <c r="V27" s="26">
        <f t="shared" si="2"/>
        <v>5.5402400000000004E-2</v>
      </c>
      <c r="W27" s="26">
        <f t="shared" si="2"/>
        <v>7.0338000000000012E-2</v>
      </c>
      <c r="X27" s="26">
        <f t="shared" si="2"/>
        <v>3.5915799999999998E-2</v>
      </c>
      <c r="Y27" s="26">
        <f t="shared" si="2"/>
        <v>0.48786399999999996</v>
      </c>
      <c r="AB27">
        <v>30</v>
      </c>
      <c r="AC27" s="26">
        <v>1.2272999999999999E-2</v>
      </c>
      <c r="AD27" s="9">
        <f t="shared" ref="AD27:AD32" si="3">($AB$5*$AB27^6)+($AC$5*$AB27^5)+($AD$5*$AB27^4)+($AE$5*$AB27^3)+($AF$5*$AB27^2)+($AG$5*$AB27^1)+$AH$5</f>
        <v>1.2272999999999243E-2</v>
      </c>
      <c r="AE27" s="6">
        <f t="shared" ref="AE27:AE32" si="4">(AC27-AD27)/AC27</f>
        <v>6.1626288236444873E-14</v>
      </c>
      <c r="AG27">
        <v>30</v>
      </c>
      <c r="AH27" s="26">
        <f t="shared" ref="AH27:AH32" si="5">S26</f>
        <v>8.2226999999999995E-2</v>
      </c>
      <c r="AI27" s="9">
        <f t="shared" ref="AI27:AI32" si="6">($AK$5*$AG27^5)+($AL$5*$AG27^4)+($AM$5*$AG27^3)+($AN$5*$AG27^2)+($AO$5*$AG27^1)+$AP$5</f>
        <v>8.2216096055506366E-2</v>
      </c>
      <c r="AJ27" s="6">
        <f t="shared" ref="AJ27:AJ32" si="7">(AH27-AI27)/AH27</f>
        <v>1.3260783554828399E-4</v>
      </c>
      <c r="AT27" s="25" t="s">
        <v>39</v>
      </c>
      <c r="AU27" s="25" t="s">
        <v>45</v>
      </c>
      <c r="AV27" s="25" t="s">
        <v>46</v>
      </c>
      <c r="AW27" s="25" t="s">
        <v>47</v>
      </c>
      <c r="AX27" s="25" t="s">
        <v>46</v>
      </c>
      <c r="AY27" s="25" t="s">
        <v>47</v>
      </c>
    </row>
    <row r="28" spans="1:60" x14ac:dyDescent="0.25">
      <c r="A28" s="26">
        <f>A27-C27</f>
        <v>4.099999999999996E-3</v>
      </c>
      <c r="B28">
        <v>15</v>
      </c>
      <c r="C28" s="26">
        <v>2.9118999999999999E-2</v>
      </c>
      <c r="D28" s="26">
        <v>1.0715E-7</v>
      </c>
      <c r="E28" s="26">
        <v>6.1028999999999996E-3</v>
      </c>
      <c r="F28" s="26">
        <v>2.2391999999999999E-2</v>
      </c>
      <c r="G28" s="26">
        <v>2.9007000000000002E-2</v>
      </c>
      <c r="H28" s="26">
        <v>6.0872000000000001E-3</v>
      </c>
      <c r="I28" s="26">
        <v>0.19048000000000001</v>
      </c>
      <c r="K28" s="26">
        <v>1.0758E-3</v>
      </c>
      <c r="L28" s="26">
        <v>2.3936E-8</v>
      </c>
      <c r="M28" s="26">
        <v>8.6425E-4</v>
      </c>
      <c r="N28" s="26">
        <v>9.6927999999999999E-4</v>
      </c>
      <c r="O28" s="26">
        <v>1.3636E-3</v>
      </c>
      <c r="P28" s="26">
        <v>9.3101999999999996E-4</v>
      </c>
      <c r="Q28" s="26">
        <v>1.1894999999999999E-2</v>
      </c>
      <c r="S28" s="26">
        <f t="shared" si="2"/>
        <v>3.5573800000000003E-2</v>
      </c>
      <c r="T28" s="26">
        <f t="shared" si="2"/>
        <v>2.5076600000000001E-7</v>
      </c>
      <c r="U28" s="26">
        <f t="shared" si="2"/>
        <v>1.1288400000000001E-2</v>
      </c>
      <c r="V28" s="26">
        <f t="shared" si="2"/>
        <v>2.8207679999999999E-2</v>
      </c>
      <c r="W28" s="26">
        <f t="shared" si="2"/>
        <v>3.7188600000000002E-2</v>
      </c>
      <c r="X28" s="26">
        <f t="shared" si="2"/>
        <v>1.1673320000000001E-2</v>
      </c>
      <c r="Y28" s="26">
        <f t="shared" si="2"/>
        <v>0.26185000000000003</v>
      </c>
      <c r="AB28">
        <v>20</v>
      </c>
      <c r="AC28" s="26">
        <v>3.3855999999999997E-2</v>
      </c>
      <c r="AD28" s="9">
        <f t="shared" si="3"/>
        <v>2.975599999999981E-2</v>
      </c>
      <c r="AE28" s="6">
        <f t="shared" si="4"/>
        <v>0.12110113421550647</v>
      </c>
      <c r="AG28">
        <v>20</v>
      </c>
      <c r="AH28" s="26">
        <f t="shared" si="5"/>
        <v>4.6292E-2</v>
      </c>
      <c r="AI28" s="9">
        <f t="shared" si="6"/>
        <v>4.6356525509682632E-2</v>
      </c>
      <c r="AJ28" s="6">
        <f t="shared" si="7"/>
        <v>-1.393880361242379E-3</v>
      </c>
      <c r="AT28" s="1" t="s">
        <v>22</v>
      </c>
      <c r="AU28" s="1">
        <f>COUNTIF('Comparator Config Inputs'!$C$15:$C$18,AT28)</f>
        <v>0</v>
      </c>
      <c r="AV28" s="17">
        <f>$AU$28*$AX$20</f>
        <v>0</v>
      </c>
      <c r="AW28" s="17">
        <f>$AU$28*$AX$10</f>
        <v>0</v>
      </c>
      <c r="AX28" s="17">
        <f>AU28*AG20</f>
        <v>0</v>
      </c>
      <c r="AY28" s="17">
        <f>IF(AU28&gt;0,AG10,0)</f>
        <v>0</v>
      </c>
    </row>
    <row r="29" spans="1:60" x14ac:dyDescent="0.25">
      <c r="A29">
        <v>4.099999999999996E-3</v>
      </c>
      <c r="B29">
        <v>10</v>
      </c>
      <c r="C29" s="26">
        <v>1.9961E-2</v>
      </c>
      <c r="D29" s="26">
        <v>7.4071000000000002E-8</v>
      </c>
      <c r="E29" s="26">
        <v>9.4488000000000005E-4</v>
      </c>
      <c r="F29" s="26">
        <v>9.4417000000000008E-3</v>
      </c>
      <c r="G29" s="26">
        <v>1.2971999999999999E-2</v>
      </c>
      <c r="H29" s="26">
        <v>8.8710000000000004E-4</v>
      </c>
      <c r="I29" s="26">
        <v>9.7031999999999993E-2</v>
      </c>
      <c r="K29" s="26">
        <v>9.1222999999999999E-4</v>
      </c>
      <c r="L29" s="26">
        <v>1.6545E-8</v>
      </c>
      <c r="M29" s="26">
        <v>1.8244999999999999E-4</v>
      </c>
      <c r="N29" s="26">
        <v>3.8138000000000001E-4</v>
      </c>
      <c r="O29" s="26">
        <v>5.2433000000000004E-4</v>
      </c>
      <c r="P29" s="26">
        <v>1.7844000000000001E-4</v>
      </c>
      <c r="Q29" s="26">
        <v>4.1444000000000003E-3</v>
      </c>
      <c r="S29" s="26">
        <f t="shared" si="2"/>
        <v>2.5434379999999999E-2</v>
      </c>
      <c r="T29" s="26">
        <f t="shared" si="2"/>
        <v>1.7334100000000002E-7</v>
      </c>
      <c r="U29" s="26">
        <f t="shared" si="2"/>
        <v>2.03958E-3</v>
      </c>
      <c r="V29" s="26">
        <f t="shared" si="2"/>
        <v>1.1729980000000001E-2</v>
      </c>
      <c r="W29" s="26">
        <f t="shared" si="2"/>
        <v>1.6117980000000001E-2</v>
      </c>
      <c r="X29" s="26">
        <f t="shared" si="2"/>
        <v>1.9577400000000003E-3</v>
      </c>
      <c r="Y29" s="26">
        <f t="shared" si="2"/>
        <v>0.12189839999999999</v>
      </c>
      <c r="AB29">
        <v>15</v>
      </c>
      <c r="AC29" s="26">
        <v>2.9118999999999999E-2</v>
      </c>
      <c r="AD29" s="9">
        <f t="shared" si="3"/>
        <v>2.9118999999999444E-2</v>
      </c>
      <c r="AE29" s="6">
        <f t="shared" si="4"/>
        <v>1.9063549995280685E-14</v>
      </c>
      <c r="AG29">
        <v>15</v>
      </c>
      <c r="AH29" s="26">
        <f t="shared" si="5"/>
        <v>3.5573800000000003E-2</v>
      </c>
      <c r="AI29" s="9">
        <f t="shared" si="6"/>
        <v>3.543550606984143E-2</v>
      </c>
      <c r="AJ29" s="6">
        <f t="shared" si="7"/>
        <v>3.887522000983106E-3</v>
      </c>
      <c r="AT29" s="1" t="s">
        <v>23</v>
      </c>
      <c r="AU29" s="1">
        <f>COUNTIF('Comparator Config Inputs'!$C$15:$C$18,AT29)</f>
        <v>2</v>
      </c>
      <c r="AV29" s="17">
        <f>AU29*AZ15</f>
        <v>9.0000000000000621E-2</v>
      </c>
      <c r="AW29" s="17">
        <f>AU29*AZ5</f>
        <v>3.2631999999999768</v>
      </c>
      <c r="AX29" s="17">
        <f>AU29*AI15</f>
        <v>1.3000000000464029E-5</v>
      </c>
      <c r="AY29" s="17">
        <f>IF(AU29&gt;0,AI5,0)</f>
        <v>2.2589000000108883E-4</v>
      </c>
    </row>
    <row r="30" spans="1:60" x14ac:dyDescent="0.25">
      <c r="B30">
        <v>5</v>
      </c>
      <c r="C30" s="26">
        <v>7.3280000000000003E-3</v>
      </c>
      <c r="D30" s="26">
        <v>1.1550999999999999E-7</v>
      </c>
      <c r="E30" s="26">
        <v>1.5384999999999999E-7</v>
      </c>
      <c r="F30" s="26">
        <v>1.3401999999999999E-3</v>
      </c>
      <c r="G30" s="26">
        <v>2.3985E-3</v>
      </c>
      <c r="H30" s="26">
        <v>2.5384999999999998E-5</v>
      </c>
      <c r="I30" s="26">
        <v>3.0424E-2</v>
      </c>
      <c r="K30" s="26">
        <v>2.9681E-4</v>
      </c>
      <c r="L30" s="26">
        <v>2.7123000000000001E-8</v>
      </c>
      <c r="M30" s="26">
        <v>1.0912E-6</v>
      </c>
      <c r="N30" s="26">
        <v>8.7291000000000002E-5</v>
      </c>
      <c r="O30" s="26">
        <v>1.2410000000000001E-4</v>
      </c>
      <c r="P30" s="26">
        <v>1.5834000000000001E-5</v>
      </c>
      <c r="Q30" s="26">
        <v>1.1712000000000001E-3</v>
      </c>
      <c r="S30" s="26">
        <f t="shared" si="2"/>
        <v>9.1088599999999999E-3</v>
      </c>
      <c r="T30" s="26">
        <f t="shared" si="2"/>
        <v>2.7824799999999999E-7</v>
      </c>
      <c r="U30" s="26">
        <f t="shared" si="2"/>
        <v>6.7010500000000008E-6</v>
      </c>
      <c r="V30" s="26">
        <f t="shared" si="2"/>
        <v>1.863946E-3</v>
      </c>
      <c r="W30" s="26">
        <f t="shared" si="2"/>
        <v>3.1431000000000002E-3</v>
      </c>
      <c r="X30" s="26">
        <f t="shared" si="2"/>
        <v>1.2038900000000002E-4</v>
      </c>
      <c r="Y30" s="26">
        <f t="shared" si="2"/>
        <v>3.7451200000000004E-2</v>
      </c>
      <c r="AB30">
        <v>10</v>
      </c>
      <c r="AC30" s="26">
        <v>1.9961E-2</v>
      </c>
      <c r="AD30" s="9">
        <f t="shared" si="3"/>
        <v>1.9960999999999559E-2</v>
      </c>
      <c r="AE30" s="6">
        <f t="shared" si="4"/>
        <v>2.2074032508296627E-14</v>
      </c>
      <c r="AG30">
        <v>10</v>
      </c>
      <c r="AH30" s="26">
        <f t="shared" si="5"/>
        <v>2.5434379999999999E-2</v>
      </c>
      <c r="AI30" s="9">
        <f t="shared" si="6"/>
        <v>2.5575533802002653E-2</v>
      </c>
      <c r="AJ30" s="6">
        <f t="shared" si="7"/>
        <v>-5.549724506854631E-3</v>
      </c>
      <c r="AT30" s="1" t="s">
        <v>74</v>
      </c>
      <c r="AU30" s="1">
        <f>COUNTIF('Comparator Config Inputs'!$C$15:$C$18,AT30)</f>
        <v>2</v>
      </c>
      <c r="AV30" s="1" t="s">
        <v>68</v>
      </c>
      <c r="AW30" s="1" t="s">
        <v>68</v>
      </c>
      <c r="AX30" s="1" t="s">
        <v>68</v>
      </c>
      <c r="AY30" s="1" t="s">
        <v>68</v>
      </c>
    </row>
    <row r="31" spans="1:60" x14ac:dyDescent="0.25">
      <c r="B31">
        <v>2.7</v>
      </c>
      <c r="C31" s="26">
        <v>1.606E-3</v>
      </c>
      <c r="D31" s="26">
        <v>3.7689999999999999E-7</v>
      </c>
      <c r="E31" s="26">
        <v>3.3686E-12</v>
      </c>
      <c r="F31" s="26">
        <v>2.1807E-4</v>
      </c>
      <c r="G31" s="26">
        <v>3.1892999999999998E-4</v>
      </c>
      <c r="H31" s="26">
        <v>1.3195E-12</v>
      </c>
      <c r="I31" s="26">
        <v>8.0733000000000003E-3</v>
      </c>
      <c r="K31" s="26">
        <v>6.0593000000000001E-5</v>
      </c>
      <c r="L31" s="26">
        <v>6.4983999999999995E-8</v>
      </c>
      <c r="M31" s="26">
        <v>8.2057000000000003E-14</v>
      </c>
      <c r="N31" s="26">
        <v>1.2873E-5</v>
      </c>
      <c r="O31" s="26">
        <v>2.0134999999999999E-5</v>
      </c>
      <c r="P31" s="26">
        <v>1.3327999999999999E-13</v>
      </c>
      <c r="Q31" s="26">
        <v>2.9180999999999999E-4</v>
      </c>
      <c r="S31" s="26">
        <f t="shared" si="2"/>
        <v>1.9695580000000002E-3</v>
      </c>
      <c r="T31" s="26">
        <f t="shared" si="2"/>
        <v>7.6680399999999991E-7</v>
      </c>
      <c r="U31" s="26">
        <f t="shared" si="2"/>
        <v>3.8609420000000003E-12</v>
      </c>
      <c r="V31" s="26">
        <f t="shared" si="2"/>
        <v>2.9530799999999999E-4</v>
      </c>
      <c r="W31" s="26">
        <f t="shared" si="2"/>
        <v>4.3973999999999999E-4</v>
      </c>
      <c r="X31" s="26">
        <f t="shared" si="2"/>
        <v>2.1191799999999999E-12</v>
      </c>
      <c r="Y31" s="26">
        <f t="shared" si="2"/>
        <v>9.8241600000000002E-3</v>
      </c>
      <c r="AB31">
        <v>5</v>
      </c>
      <c r="AC31" s="26">
        <v>7.3280000000000003E-3</v>
      </c>
      <c r="AD31" s="9">
        <f t="shared" si="3"/>
        <v>7.3279999999995189E-3</v>
      </c>
      <c r="AE31" s="6">
        <f t="shared" si="4"/>
        <v>6.5691288835093333E-14</v>
      </c>
      <c r="AG31">
        <v>5</v>
      </c>
      <c r="AH31" s="26">
        <f t="shared" si="5"/>
        <v>9.1088599999999999E-3</v>
      </c>
      <c r="AI31" s="9">
        <f t="shared" si="6"/>
        <v>9.0086599378402955E-3</v>
      </c>
      <c r="AJ31" s="6">
        <f t="shared" si="7"/>
        <v>1.1000285673476638E-2</v>
      </c>
    </row>
    <row r="32" spans="1:60" x14ac:dyDescent="0.25">
      <c r="AB32">
        <v>2.7</v>
      </c>
      <c r="AC32" s="26">
        <v>1.606E-3</v>
      </c>
      <c r="AD32" s="9">
        <f t="shared" si="3"/>
        <v>1.6059999999998567E-3</v>
      </c>
      <c r="AE32" s="6">
        <f t="shared" si="4"/>
        <v>8.9247526278072032E-14</v>
      </c>
      <c r="AG32">
        <v>2.7</v>
      </c>
      <c r="AH32" s="26">
        <f t="shared" si="5"/>
        <v>1.9695580000000002E-3</v>
      </c>
      <c r="AI32" s="9">
        <f t="shared" si="6"/>
        <v>2.0108009765848634E-3</v>
      </c>
      <c r="AJ32" s="6">
        <f t="shared" si="7"/>
        <v>-2.0940219371484999E-2</v>
      </c>
    </row>
    <row r="33" spans="2:51" x14ac:dyDescent="0.25">
      <c r="C33" s="41" t="s">
        <v>107</v>
      </c>
      <c r="D33" s="41"/>
      <c r="E33" s="41"/>
      <c r="F33" s="41"/>
      <c r="G33" s="41"/>
      <c r="H33" s="41"/>
      <c r="I33" s="41"/>
      <c r="K33" s="41" t="s">
        <v>108</v>
      </c>
      <c r="L33" s="41"/>
      <c r="M33" s="41"/>
      <c r="N33" s="41"/>
      <c r="O33" s="41"/>
      <c r="P33" s="41"/>
      <c r="Q33" s="41"/>
      <c r="S33" s="42" t="s">
        <v>112</v>
      </c>
      <c r="T33" s="41"/>
      <c r="U33" s="41"/>
      <c r="V33" s="41"/>
      <c r="W33" s="41"/>
      <c r="X33" s="41"/>
      <c r="Y33" s="41"/>
      <c r="AT33" s="1"/>
      <c r="AU33" s="1"/>
      <c r="AV33" s="28" t="s">
        <v>138</v>
      </c>
      <c r="AW33" s="28"/>
      <c r="AX33" s="28"/>
      <c r="AY33" s="28"/>
    </row>
    <row r="34" spans="2:51" x14ac:dyDescent="0.25">
      <c r="C34" t="s">
        <v>96</v>
      </c>
      <c r="D34" t="s">
        <v>97</v>
      </c>
      <c r="E34" t="s">
        <v>98</v>
      </c>
      <c r="F34" t="s">
        <v>99</v>
      </c>
      <c r="G34" t="s">
        <v>100</v>
      </c>
      <c r="H34" t="s">
        <v>101</v>
      </c>
      <c r="I34" t="s">
        <v>102</v>
      </c>
      <c r="K34" t="s">
        <v>96</v>
      </c>
      <c r="L34" t="s">
        <v>97</v>
      </c>
      <c r="M34" t="s">
        <v>98</v>
      </c>
      <c r="N34" t="s">
        <v>99</v>
      </c>
      <c r="O34" t="s">
        <v>100</v>
      </c>
      <c r="P34" t="s">
        <v>101</v>
      </c>
      <c r="Q34" t="s">
        <v>102</v>
      </c>
      <c r="S34" t="s">
        <v>96</v>
      </c>
      <c r="T34" t="s">
        <v>97</v>
      </c>
      <c r="U34" t="s">
        <v>98</v>
      </c>
      <c r="V34" t="s">
        <v>99</v>
      </c>
      <c r="W34" t="s">
        <v>100</v>
      </c>
      <c r="X34" t="s">
        <v>101</v>
      </c>
      <c r="Y34" t="s">
        <v>102</v>
      </c>
      <c r="AB34" s="41" t="s">
        <v>118</v>
      </c>
      <c r="AC34" s="41"/>
      <c r="AG34" s="41" t="s">
        <v>120</v>
      </c>
      <c r="AH34" s="41"/>
      <c r="AI34" s="41"/>
      <c r="AJ34" s="41"/>
      <c r="AT34" s="1"/>
      <c r="AU34" s="1"/>
      <c r="AV34" s="28" t="s">
        <v>69</v>
      </c>
      <c r="AW34" s="28"/>
      <c r="AX34" s="28" t="s">
        <v>70</v>
      </c>
      <c r="AY34" s="28"/>
    </row>
    <row r="35" spans="2:51" x14ac:dyDescent="0.25">
      <c r="B35">
        <v>36</v>
      </c>
      <c r="C35" s="26">
        <v>6.4507999999999998E-8</v>
      </c>
      <c r="D35" s="26">
        <v>1.4044000000000001E-3</v>
      </c>
      <c r="E35" s="26">
        <v>0.17523</v>
      </c>
      <c r="F35" s="26">
        <v>0.12855</v>
      </c>
      <c r="G35" s="26">
        <v>0.16153000000000001</v>
      </c>
      <c r="H35" s="26">
        <v>0.20337</v>
      </c>
      <c r="I35" s="26">
        <v>1.4084000000000001</v>
      </c>
      <c r="K35" s="26">
        <v>1.1962000000000001E-7</v>
      </c>
      <c r="L35" s="26">
        <v>3.2826999999999999E-3</v>
      </c>
      <c r="M35" s="26">
        <v>1.9139E-2</v>
      </c>
      <c r="N35" s="26">
        <v>1.9591999999999998E-2</v>
      </c>
      <c r="O35" s="26">
        <v>2.8368000000000001E-2</v>
      </c>
      <c r="P35" s="26">
        <v>2.0112999999999999E-2</v>
      </c>
      <c r="Q35" s="26">
        <v>0.35813</v>
      </c>
      <c r="S35" s="26">
        <f t="shared" ref="S35:Y41" si="8">C35+($W$1*K35)</f>
        <v>7.8222800000000003E-7</v>
      </c>
      <c r="T35" s="26">
        <f t="shared" si="8"/>
        <v>2.1100600000000001E-2</v>
      </c>
      <c r="U35" s="26">
        <f t="shared" si="8"/>
        <v>0.29006399999999999</v>
      </c>
      <c r="V35" s="26">
        <f t="shared" si="8"/>
        <v>0.24610199999999999</v>
      </c>
      <c r="W35" s="26">
        <f t="shared" si="8"/>
        <v>0.33173799999999998</v>
      </c>
      <c r="X35" s="26">
        <f t="shared" si="8"/>
        <v>0.324048</v>
      </c>
      <c r="Y35" s="26">
        <f t="shared" si="8"/>
        <v>3.5571799999999998</v>
      </c>
      <c r="AC35" t="s">
        <v>97</v>
      </c>
      <c r="AD35" t="s">
        <v>121</v>
      </c>
      <c r="AE35" t="s">
        <v>122</v>
      </c>
      <c r="AH35" t="s">
        <v>97</v>
      </c>
      <c r="AI35" t="s">
        <v>121</v>
      </c>
      <c r="AJ35" t="s">
        <v>122</v>
      </c>
      <c r="AT35" s="25" t="s">
        <v>39</v>
      </c>
      <c r="AU35" s="25" t="s">
        <v>45</v>
      </c>
      <c r="AV35" s="25" t="s">
        <v>46</v>
      </c>
      <c r="AW35" s="25" t="s">
        <v>47</v>
      </c>
      <c r="AX35" s="25" t="s">
        <v>46</v>
      </c>
      <c r="AY35" s="25" t="s">
        <v>47</v>
      </c>
    </row>
    <row r="36" spans="2:51" x14ac:dyDescent="0.25">
      <c r="B36">
        <v>30</v>
      </c>
      <c r="C36" s="26">
        <v>1.6668999999999999E-7</v>
      </c>
      <c r="D36" s="26">
        <v>2.6865E-2</v>
      </c>
      <c r="E36" s="26">
        <v>0.1017</v>
      </c>
      <c r="F36" s="26">
        <v>6.2362000000000001E-2</v>
      </c>
      <c r="G36" s="26">
        <v>7.5021000000000004E-2</v>
      </c>
      <c r="H36" s="26">
        <v>0.12171</v>
      </c>
      <c r="I36" s="26">
        <v>0.70584999999999998</v>
      </c>
      <c r="K36" s="26">
        <v>5.0518999999999997E-8</v>
      </c>
      <c r="L36" s="26">
        <v>1.3844E-2</v>
      </c>
      <c r="M36" s="26">
        <v>1.1657000000000001E-2</v>
      </c>
      <c r="N36" s="26">
        <v>1.357E-2</v>
      </c>
      <c r="O36" s="26">
        <v>1.5848000000000001E-2</v>
      </c>
      <c r="P36" s="26">
        <v>1.3521999999999999E-2</v>
      </c>
      <c r="Q36" s="26">
        <v>9.7334000000000004E-2</v>
      </c>
      <c r="S36" s="26">
        <f t="shared" si="8"/>
        <v>4.6980399999999994E-7</v>
      </c>
      <c r="T36" s="26">
        <f t="shared" si="8"/>
        <v>0.109929</v>
      </c>
      <c r="U36" s="26">
        <f t="shared" si="8"/>
        <v>0.17164200000000002</v>
      </c>
      <c r="V36" s="26">
        <f t="shared" si="8"/>
        <v>0.14378200000000002</v>
      </c>
      <c r="W36" s="26">
        <f t="shared" si="8"/>
        <v>0.17010900000000001</v>
      </c>
      <c r="X36" s="26">
        <f t="shared" si="8"/>
        <v>0.20284199999999999</v>
      </c>
      <c r="Y36" s="26">
        <f t="shared" si="8"/>
        <v>1.2898540000000001</v>
      </c>
      <c r="AB36">
        <v>36</v>
      </c>
      <c r="AC36" s="26">
        <v>1.4044000000000001E-3</v>
      </c>
      <c r="AD36" s="9">
        <f>($AB$10*$AB36^4)+($AC$10*$AB36^3)+($AD$10*$AB36^2)+($AE$10*$AB36^1)+$AF$10</f>
        <v>1.3482966714671758E-3</v>
      </c>
      <c r="AE36" s="6">
        <f>(AC36-AD36)/AC36</f>
        <v>3.9948254438069111E-2</v>
      </c>
      <c r="AG36">
        <v>36</v>
      </c>
      <c r="AH36" s="26">
        <f>T35</f>
        <v>2.1100600000000001E-2</v>
      </c>
      <c r="AI36" s="9">
        <f>($AK$10*$AG36^5)+($AL$10*$AG36^4)+($AM$10*$AG36^3)+($AN$10*$AG36^2)+($AO$10*$AG36^1)+$AP$10</f>
        <v>2.111802673731189E-2</v>
      </c>
      <c r="AJ36" s="6">
        <f>(AH36-AI36)/AH36</f>
        <v>-8.2588823596909885E-4</v>
      </c>
      <c r="AT36" s="1" t="s">
        <v>22</v>
      </c>
      <c r="AU36" s="1">
        <f>COUNTIF('Comparator Config Inputs'!$C$15:$C$18,AT36)</f>
        <v>0</v>
      </c>
      <c r="AV36" s="17">
        <f>AU36*BH20</f>
        <v>0</v>
      </c>
      <c r="AW36" s="17">
        <f>AU36*BH10</f>
        <v>0</v>
      </c>
      <c r="AX36" s="17">
        <f>AQ20*AU36</f>
        <v>0</v>
      </c>
      <c r="AY36" s="17">
        <f>IF(AU36&gt;0,AQ10,0)</f>
        <v>0</v>
      </c>
    </row>
    <row r="37" spans="2:51" x14ac:dyDescent="0.25">
      <c r="B37">
        <v>20</v>
      </c>
      <c r="C37" s="26">
        <v>6.7368999999999999E-8</v>
      </c>
      <c r="D37" s="26">
        <v>4.7262999999999999E-2</v>
      </c>
      <c r="E37" s="26">
        <v>4.0076000000000001E-2</v>
      </c>
      <c r="F37" s="26">
        <v>1.5533999999999999E-2</v>
      </c>
      <c r="G37" s="26">
        <v>1.7920999999999999E-2</v>
      </c>
      <c r="H37" s="26">
        <v>5.0708999999999997E-2</v>
      </c>
      <c r="I37" s="26">
        <v>0.32744000000000001</v>
      </c>
      <c r="K37" s="26">
        <v>7.8113999999999997E-9</v>
      </c>
      <c r="L37" s="26">
        <v>2.6145999999999999E-3</v>
      </c>
      <c r="M37" s="26">
        <v>2.4938E-3</v>
      </c>
      <c r="N37" s="26">
        <v>2.9992E-3</v>
      </c>
      <c r="O37" s="26">
        <v>3.0823000000000001E-3</v>
      </c>
      <c r="P37" s="26">
        <v>3.3605000000000002E-3</v>
      </c>
      <c r="Q37" s="26">
        <v>3.0360999999999999E-2</v>
      </c>
      <c r="S37" s="26">
        <f t="shared" si="8"/>
        <v>1.142374E-7</v>
      </c>
      <c r="T37" s="26">
        <f t="shared" si="8"/>
        <v>6.2950599999999995E-2</v>
      </c>
      <c r="U37" s="26">
        <f t="shared" si="8"/>
        <v>5.5038799999999999E-2</v>
      </c>
      <c r="V37" s="26">
        <f t="shared" si="8"/>
        <v>3.3529199999999995E-2</v>
      </c>
      <c r="W37" s="26">
        <f t="shared" si="8"/>
        <v>3.6414799999999997E-2</v>
      </c>
      <c r="X37" s="26">
        <f t="shared" si="8"/>
        <v>7.0871999999999991E-2</v>
      </c>
      <c r="Y37" s="26">
        <f t="shared" si="8"/>
        <v>0.509606</v>
      </c>
      <c r="AB37">
        <v>30</v>
      </c>
      <c r="AC37" s="26">
        <v>2.6865E-2</v>
      </c>
      <c r="AD37" s="9">
        <f t="shared" ref="AD37:AD42" si="9">($AB$10*$AB37^4)+($AC$10*$AB37^3)+($AD$10*$AB37^2)+($AE$10*$AB37^1)+$AF$10</f>
        <v>2.7058070536330171E-2</v>
      </c>
      <c r="AE37" s="6">
        <f t="shared" ref="AE37:AE42" si="10">(AC37-AD37)/AC37</f>
        <v>-7.1866940751971449E-3</v>
      </c>
      <c r="AG37">
        <v>30</v>
      </c>
      <c r="AH37" s="26">
        <f t="shared" ref="AH37:AH42" si="11">T36</f>
        <v>0.109929</v>
      </c>
      <c r="AI37" s="9">
        <f t="shared" ref="AI37:AI42" si="12">($AK$10*$AG37^5)+($AL$10*$AG37^4)+($AM$10*$AG37^3)+($AN$10*$AG37^2)+($AO$10*$AG37^1)+$AP$10</f>
        <v>0.10985224428404486</v>
      </c>
      <c r="AJ37" s="6">
        <f t="shared" ref="AJ37:AJ42" si="13">(AH37-AI37)/AH37</f>
        <v>6.9822991162605131E-4</v>
      </c>
      <c r="AT37" s="1" t="s">
        <v>23</v>
      </c>
      <c r="AU37" s="1">
        <f>COUNTIF('Comparator Config Inputs'!$C$15:$C$18,AT37)</f>
        <v>2</v>
      </c>
      <c r="AV37" s="17">
        <f>BH15*AU37</f>
        <v>0.22192419788952911</v>
      </c>
      <c r="AW37" s="17">
        <f>AU37*BH5</f>
        <v>8.0121098199337499</v>
      </c>
      <c r="AX37" s="17">
        <f>AQ15*AU37</f>
        <v>3.5907274471649875E-4</v>
      </c>
      <c r="AY37" s="17">
        <f>IF(AU37&gt;0,AQ5,0)</f>
        <v>6.2487656485421261E-3</v>
      </c>
    </row>
    <row r="38" spans="2:51" x14ac:dyDescent="0.25">
      <c r="B38">
        <v>15</v>
      </c>
      <c r="C38" s="26">
        <v>4.0738999999999998E-8</v>
      </c>
      <c r="D38" s="26">
        <v>3.9653000000000001E-2</v>
      </c>
      <c r="E38" s="26">
        <v>2.1950999999999998E-2</v>
      </c>
      <c r="F38" s="26">
        <v>6.0203000000000001E-3</v>
      </c>
      <c r="G38" s="26">
        <v>6.1716000000000002E-3</v>
      </c>
      <c r="H38" s="26">
        <v>2.9662000000000001E-2</v>
      </c>
      <c r="I38" s="26">
        <v>0.20250000000000001</v>
      </c>
      <c r="K38" s="26">
        <v>5.8513999999999999E-9</v>
      </c>
      <c r="L38" s="26">
        <v>1.5158000000000001E-3</v>
      </c>
      <c r="M38" s="26">
        <v>9.7117000000000004E-4</v>
      </c>
      <c r="N38" s="26">
        <v>8.4378999999999997E-4</v>
      </c>
      <c r="O38" s="26">
        <v>9.3623000000000003E-4</v>
      </c>
      <c r="P38" s="26">
        <v>1.3871000000000001E-3</v>
      </c>
      <c r="Q38" s="26">
        <v>1.2409999999999999E-2</v>
      </c>
      <c r="S38" s="26">
        <f t="shared" si="8"/>
        <v>7.5847399999999999E-8</v>
      </c>
      <c r="T38" s="26">
        <f t="shared" si="8"/>
        <v>4.8747800000000001E-2</v>
      </c>
      <c r="U38" s="26">
        <f t="shared" si="8"/>
        <v>2.777802E-2</v>
      </c>
      <c r="V38" s="26">
        <f t="shared" si="8"/>
        <v>1.1083039999999999E-2</v>
      </c>
      <c r="W38" s="26">
        <f t="shared" si="8"/>
        <v>1.1788980000000001E-2</v>
      </c>
      <c r="X38" s="26">
        <f t="shared" si="8"/>
        <v>3.79846E-2</v>
      </c>
      <c r="Y38" s="26">
        <f t="shared" si="8"/>
        <v>0.27695999999999998</v>
      </c>
      <c r="AB38">
        <v>20</v>
      </c>
      <c r="AC38" s="26">
        <v>4.7262999999999999E-2</v>
      </c>
      <c r="AD38" s="9">
        <f t="shared" si="9"/>
        <v>4.6653416350408289E-2</v>
      </c>
      <c r="AE38" s="6">
        <f t="shared" si="10"/>
        <v>1.2897692689666561E-2</v>
      </c>
      <c r="AG38">
        <v>20</v>
      </c>
      <c r="AH38" s="26">
        <f t="shared" si="11"/>
        <v>6.2950599999999995E-2</v>
      </c>
      <c r="AI38" s="9">
        <f t="shared" si="12"/>
        <v>6.3404811931839875E-2</v>
      </c>
      <c r="AJ38" s="6">
        <f t="shared" si="13"/>
        <v>-7.2153709708863631E-3</v>
      </c>
      <c r="AT38" s="1" t="s">
        <v>74</v>
      </c>
      <c r="AU38" s="1">
        <f>COUNTIF('Comparator Config Inputs'!$C$15:$C$18,AT38)</f>
        <v>2</v>
      </c>
      <c r="AV38" s="1" t="s">
        <v>68</v>
      </c>
      <c r="AW38" s="1" t="s">
        <v>68</v>
      </c>
      <c r="AX38" s="1" t="s">
        <v>68</v>
      </c>
      <c r="AY38" s="1" t="s">
        <v>68</v>
      </c>
    </row>
    <row r="39" spans="2:51" x14ac:dyDescent="0.25">
      <c r="B39">
        <v>10</v>
      </c>
      <c r="C39" s="26">
        <v>2.6661E-8</v>
      </c>
      <c r="D39" s="26">
        <v>2.5898000000000001E-2</v>
      </c>
      <c r="E39" s="26">
        <v>9.0194999999999997E-3</v>
      </c>
      <c r="F39" s="26">
        <v>9.7577999999999999E-4</v>
      </c>
      <c r="G39" s="26">
        <v>8.8095000000000003E-4</v>
      </c>
      <c r="H39" s="26">
        <v>1.3542E-2</v>
      </c>
      <c r="I39" s="26">
        <v>0.10426000000000001</v>
      </c>
      <c r="K39" s="26">
        <v>4.5880000000000003E-9</v>
      </c>
      <c r="L39" s="26">
        <v>9.0406999999999998E-4</v>
      </c>
      <c r="M39" s="26">
        <v>3.8259999999999998E-4</v>
      </c>
      <c r="N39" s="26">
        <v>1.7655000000000001E-4</v>
      </c>
      <c r="O39" s="26">
        <v>1.7827000000000001E-4</v>
      </c>
      <c r="P39" s="26">
        <v>5.3346999999999997E-4</v>
      </c>
      <c r="Q39" s="26">
        <v>4.1824000000000002E-3</v>
      </c>
      <c r="S39" s="26">
        <f t="shared" si="8"/>
        <v>5.4188999999999996E-8</v>
      </c>
      <c r="T39" s="26">
        <f t="shared" si="8"/>
        <v>3.1322420000000004E-2</v>
      </c>
      <c r="U39" s="26">
        <f t="shared" si="8"/>
        <v>1.13151E-2</v>
      </c>
      <c r="V39" s="26">
        <f t="shared" si="8"/>
        <v>2.0350799999999999E-3</v>
      </c>
      <c r="W39" s="26">
        <f t="shared" si="8"/>
        <v>1.95057E-3</v>
      </c>
      <c r="X39" s="26">
        <f t="shared" si="8"/>
        <v>1.6742819999999999E-2</v>
      </c>
      <c r="Y39" s="26">
        <f t="shared" si="8"/>
        <v>0.12935440000000001</v>
      </c>
      <c r="AB39">
        <v>15</v>
      </c>
      <c r="AC39" s="26">
        <v>3.9653000000000001E-2</v>
      </c>
      <c r="AD39" s="9">
        <f t="shared" si="9"/>
        <v>4.0388380271436194E-2</v>
      </c>
      <c r="AE39" s="6">
        <f t="shared" si="10"/>
        <v>-1.8545388027039408E-2</v>
      </c>
      <c r="AG39">
        <v>15</v>
      </c>
      <c r="AH39" s="26">
        <f t="shared" si="11"/>
        <v>4.8747800000000001E-2</v>
      </c>
      <c r="AI39" s="9">
        <f t="shared" si="12"/>
        <v>4.7774312870824356E-2</v>
      </c>
      <c r="AJ39" s="6">
        <f t="shared" si="13"/>
        <v>1.9969867956618439E-2</v>
      </c>
    </row>
    <row r="40" spans="2:51" x14ac:dyDescent="0.25">
      <c r="B40">
        <v>5</v>
      </c>
      <c r="C40" s="26">
        <v>4.3941999999999997E-8</v>
      </c>
      <c r="D40" s="26">
        <v>8.7440999999999994E-3</v>
      </c>
      <c r="E40" s="26">
        <v>1.0716E-3</v>
      </c>
      <c r="F40" s="26">
        <v>3.7125E-6</v>
      </c>
      <c r="G40" s="26">
        <v>8.0566000000000001E-6</v>
      </c>
      <c r="H40" s="26">
        <v>2.6911999999999999E-3</v>
      </c>
      <c r="I40" s="26">
        <v>3.2577000000000002E-2</v>
      </c>
      <c r="K40" s="26">
        <v>8.3546999999999997E-9</v>
      </c>
      <c r="L40" s="26">
        <v>3.2591E-4</v>
      </c>
      <c r="M40" s="26">
        <v>8.5932000000000003E-5</v>
      </c>
      <c r="N40" s="26">
        <v>6.2326999999999996E-6</v>
      </c>
      <c r="O40" s="26">
        <v>1.1963999999999999E-5</v>
      </c>
      <c r="P40" s="26">
        <v>1.2258000000000001E-4</v>
      </c>
      <c r="Q40" s="26">
        <v>1.199E-3</v>
      </c>
      <c r="S40" s="26">
        <f t="shared" si="8"/>
        <v>9.4070199999999992E-8</v>
      </c>
      <c r="T40" s="26">
        <f t="shared" si="8"/>
        <v>1.069956E-2</v>
      </c>
      <c r="U40" s="26">
        <f t="shared" si="8"/>
        <v>1.5871920000000001E-3</v>
      </c>
      <c r="V40" s="26">
        <f t="shared" si="8"/>
        <v>4.1108700000000002E-5</v>
      </c>
      <c r="W40" s="26">
        <f t="shared" si="8"/>
        <v>7.9840600000000009E-5</v>
      </c>
      <c r="X40" s="26">
        <f t="shared" si="8"/>
        <v>3.4266800000000001E-3</v>
      </c>
      <c r="Y40" s="26">
        <f t="shared" si="8"/>
        <v>3.9771000000000001E-2</v>
      </c>
      <c r="AB40">
        <v>10</v>
      </c>
      <c r="AC40" s="26">
        <v>2.5898000000000001E-2</v>
      </c>
      <c r="AD40" s="9">
        <f t="shared" si="9"/>
        <v>2.5730329004966211E-2</v>
      </c>
      <c r="AE40" s="6">
        <f t="shared" si="10"/>
        <v>6.4742835367128625E-3</v>
      </c>
      <c r="AG40">
        <v>10</v>
      </c>
      <c r="AH40" s="26">
        <f t="shared" si="11"/>
        <v>3.1322420000000004E-2</v>
      </c>
      <c r="AI40" s="9">
        <f t="shared" si="12"/>
        <v>3.2316038514751032E-2</v>
      </c>
      <c r="AJ40" s="6">
        <f t="shared" si="13"/>
        <v>-3.1722277996113588E-2</v>
      </c>
    </row>
    <row r="41" spans="2:51" x14ac:dyDescent="0.25">
      <c r="B41">
        <v>2.7</v>
      </c>
      <c r="C41" s="26">
        <v>1.8664999999999999E-7</v>
      </c>
      <c r="D41" s="26">
        <v>1.7769999999999999E-3</v>
      </c>
      <c r="E41" s="26">
        <v>1.8652999999999999E-4</v>
      </c>
      <c r="F41" s="26">
        <v>4.8315000000000002E-12</v>
      </c>
      <c r="G41" s="26">
        <v>1.2157E-12</v>
      </c>
      <c r="H41" s="26">
        <v>3.5362000000000002E-4</v>
      </c>
      <c r="I41" s="26">
        <v>8.5004E-3</v>
      </c>
      <c r="K41" s="26">
        <v>3.1417999999999997E-8</v>
      </c>
      <c r="L41" s="26">
        <v>6.4009000000000003E-5</v>
      </c>
      <c r="M41" s="26">
        <v>1.0829000000000001E-5</v>
      </c>
      <c r="N41" s="26">
        <v>1.0616E-13</v>
      </c>
      <c r="O41" s="26">
        <v>8.6938E-14</v>
      </c>
      <c r="P41" s="26">
        <v>2.2169999999999999E-5</v>
      </c>
      <c r="Q41" s="26">
        <v>3.1117999999999999E-4</v>
      </c>
      <c r="S41" s="26">
        <f t="shared" si="8"/>
        <v>3.7515799999999998E-7</v>
      </c>
      <c r="T41" s="26">
        <f t="shared" si="8"/>
        <v>2.1610539999999999E-3</v>
      </c>
      <c r="U41" s="26">
        <f t="shared" si="8"/>
        <v>2.51504E-4</v>
      </c>
      <c r="V41" s="26">
        <f t="shared" si="8"/>
        <v>5.4684600000000003E-12</v>
      </c>
      <c r="W41" s="26">
        <f t="shared" si="8"/>
        <v>1.7373279999999999E-12</v>
      </c>
      <c r="X41" s="26">
        <f t="shared" si="8"/>
        <v>4.8663999999999999E-4</v>
      </c>
      <c r="Y41" s="26">
        <f t="shared" si="8"/>
        <v>1.036748E-2</v>
      </c>
      <c r="AB41">
        <v>5</v>
      </c>
      <c r="AC41" s="26">
        <v>8.7440999999999994E-3</v>
      </c>
      <c r="AD41" s="9">
        <f t="shared" si="9"/>
        <v>8.4493318527571332E-3</v>
      </c>
      <c r="AE41" s="6">
        <f t="shared" si="10"/>
        <v>3.3710518777560448E-2</v>
      </c>
      <c r="AG41">
        <v>5</v>
      </c>
      <c r="AH41" s="26">
        <f t="shared" si="11"/>
        <v>1.069956E-2</v>
      </c>
      <c r="AI41" s="9">
        <f t="shared" si="12"/>
        <v>9.9942255667153403E-3</v>
      </c>
      <c r="AJ41" s="6">
        <f t="shared" si="13"/>
        <v>6.5921816718132339E-2</v>
      </c>
    </row>
    <row r="42" spans="2:51" x14ac:dyDescent="0.25">
      <c r="AB42">
        <v>2.7</v>
      </c>
      <c r="AC42" s="26">
        <v>1.7769999999999999E-3</v>
      </c>
      <c r="AD42" s="9">
        <f t="shared" si="9"/>
        <v>1.9766753126348961E-3</v>
      </c>
      <c r="AE42" s="6">
        <f t="shared" si="10"/>
        <v>-0.11236652371125275</v>
      </c>
      <c r="AG42">
        <v>2.7</v>
      </c>
      <c r="AH42" s="26">
        <f t="shared" si="11"/>
        <v>2.1610539999999999E-3</v>
      </c>
      <c r="AI42" s="9">
        <f t="shared" si="12"/>
        <v>2.4513740945140746E-3</v>
      </c>
      <c r="AJ42" s="6">
        <f t="shared" si="13"/>
        <v>-0.13434189729366999</v>
      </c>
    </row>
  </sheetData>
  <mergeCells count="39">
    <mergeCell ref="AS3:AX3"/>
    <mergeCell ref="AV33:AY33"/>
    <mergeCell ref="AV34:AW34"/>
    <mergeCell ref="AX34:AY34"/>
    <mergeCell ref="BB3:BH3"/>
    <mergeCell ref="AS8:AX8"/>
    <mergeCell ref="BB8:BH8"/>
    <mergeCell ref="AS13:AX13"/>
    <mergeCell ref="BB13:BH13"/>
    <mergeCell ref="AS18:AX18"/>
    <mergeCell ref="BB18:BH18"/>
    <mergeCell ref="AV25:AY25"/>
    <mergeCell ref="AV26:AW26"/>
    <mergeCell ref="AX26:AY26"/>
    <mergeCell ref="AB34:AC34"/>
    <mergeCell ref="AG34:AJ34"/>
    <mergeCell ref="AB3:AG3"/>
    <mergeCell ref="AB8:AG8"/>
    <mergeCell ref="AK3:AQ3"/>
    <mergeCell ref="AK8:AQ8"/>
    <mergeCell ref="AB24:AC24"/>
    <mergeCell ref="AG24:AJ24"/>
    <mergeCell ref="AB13:AG13"/>
    <mergeCell ref="AK13:AQ13"/>
    <mergeCell ref="AB18:AG18"/>
    <mergeCell ref="AK18:AQ18"/>
    <mergeCell ref="C33:I33"/>
    <mergeCell ref="K33:Q33"/>
    <mergeCell ref="S3:Y3"/>
    <mergeCell ref="S13:Y13"/>
    <mergeCell ref="S23:Y23"/>
    <mergeCell ref="S33:Y33"/>
    <mergeCell ref="C23:I23"/>
    <mergeCell ref="K23:Q23"/>
    <mergeCell ref="C1:Q1"/>
    <mergeCell ref="C3:I3"/>
    <mergeCell ref="K3:Q3"/>
    <mergeCell ref="C13:I13"/>
    <mergeCell ref="K13:Q1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Buffer Config Inputs</vt:lpstr>
      <vt:lpstr>Comparator Config Inputs</vt:lpstr>
      <vt:lpstr>I32-I55</vt:lpstr>
      <vt:lpstr>Amp</vt:lpstr>
      <vt:lpstr>Comparator Data</vt:lpstr>
    </vt:vector>
  </TitlesOfParts>
  <Company>Renesas Electronics America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Kiran Bernard</dc:creator>
  <cp:lastModifiedBy>Kiran Bernard</cp:lastModifiedBy>
  <dcterms:created xsi:type="dcterms:W3CDTF">2018-03-30T13:09:45Z</dcterms:created>
  <dcterms:modified xsi:type="dcterms:W3CDTF">2019-03-07T17:26:59Z</dcterms:modified>
  <cp:contentStatus/>
</cp:coreProperties>
</file>