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embeddings/oleObject1.bin" ContentType="application/vnd.openxmlformats-officedocument.oleObject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4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Analog Solutions PL\Applications Loading\Tim_Lok\Rad_Hard_Space\Tim Lok Conversion Calculators\"/>
    </mc:Choice>
  </mc:AlternateContent>
  <xr:revisionPtr revIDLastSave="0" documentId="13_ncr:1_{C78D2C71-6909-4C89-88C0-18ED67A5865D}" xr6:coauthVersionLast="47" xr6:coauthVersionMax="47" xr10:uidLastSave="{00000000-0000-0000-0000-000000000000}"/>
  <bookViews>
    <workbookView xWindow="-120" yWindow="-120" windowWidth="29040" windowHeight="15990" xr2:uid="{DF4BD7BE-721B-4DF1-A64F-2DE8F8FF6C0D}"/>
  </bookViews>
  <sheets>
    <sheet name="Efficiency" sheetId="8" r:id="rId1"/>
    <sheet name="Reference" sheetId="2" r:id="rId2"/>
    <sheet name="Components" sheetId="9" r:id="rId3"/>
    <sheet name="Operating Current" sheetId="10" r:id="rId4"/>
    <sheet name="Rev History" sheetId="11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12" i="8" l="1"/>
  <c r="J7" i="9"/>
  <c r="J6" i="9"/>
  <c r="B14" i="8"/>
  <c r="G19" i="8" l="1"/>
  <c r="G20" i="8" s="1"/>
  <c r="G16" i="8"/>
  <c r="L23" i="8" s="1"/>
  <c r="E27" i="9"/>
  <c r="E26" i="9"/>
  <c r="E25" i="9"/>
  <c r="E24" i="9"/>
  <c r="E23" i="9"/>
  <c r="E22" i="9"/>
  <c r="E20" i="9"/>
  <c r="E21" i="9"/>
  <c r="J5" i="9"/>
  <c r="F15" i="10"/>
  <c r="F16" i="10"/>
  <c r="F17" i="10"/>
  <c r="F18" i="10"/>
  <c r="F19" i="10"/>
  <c r="F20" i="10"/>
  <c r="F21" i="10"/>
  <c r="F14" i="10"/>
  <c r="E15" i="10"/>
  <c r="E16" i="10"/>
  <c r="E17" i="10"/>
  <c r="E18" i="10"/>
  <c r="E19" i="10"/>
  <c r="E20" i="10"/>
  <c r="E21" i="10"/>
  <c r="E14" i="10"/>
  <c r="D15" i="10"/>
  <c r="D16" i="10"/>
  <c r="D17" i="10"/>
  <c r="D18" i="10"/>
  <c r="D19" i="10"/>
  <c r="D20" i="10"/>
  <c r="D21" i="10"/>
  <c r="D14" i="10"/>
  <c r="C15" i="10"/>
  <c r="C16" i="10"/>
  <c r="C17" i="10"/>
  <c r="C18" i="10"/>
  <c r="C19" i="10"/>
  <c r="C20" i="10"/>
  <c r="C21" i="10"/>
  <c r="C14" i="10"/>
  <c r="B21" i="10"/>
  <c r="B15" i="10"/>
  <c r="B16" i="10" s="1"/>
  <c r="B17" i="10" s="1"/>
  <c r="B18" i="10" s="1"/>
  <c r="B19" i="10" s="1"/>
  <c r="B20" i="10" s="1"/>
  <c r="B14" i="10"/>
  <c r="F22" i="10"/>
  <c r="D22" i="10"/>
  <c r="C13" i="10"/>
  <c r="D13" i="10" s="1"/>
  <c r="F7" i="10"/>
  <c r="D7" i="10"/>
  <c r="C6" i="10"/>
  <c r="D6" i="10" s="1"/>
  <c r="B13" i="8"/>
  <c r="J8" i="9"/>
  <c r="B11" i="8" l="1"/>
  <c r="J10" i="9"/>
  <c r="B15" i="8" s="1"/>
  <c r="J9" i="9" l="1"/>
  <c r="Q23" i="8" l="1"/>
  <c r="R25" i="8" l="1"/>
  <c r="R33" i="8"/>
  <c r="R41" i="8"/>
  <c r="R49" i="8"/>
  <c r="R57" i="8"/>
  <c r="R65" i="8"/>
  <c r="R73" i="8"/>
  <c r="R26" i="8"/>
  <c r="R34" i="8"/>
  <c r="R42" i="8"/>
  <c r="R50" i="8"/>
  <c r="R58" i="8"/>
  <c r="R66" i="8"/>
  <c r="R23" i="8"/>
  <c r="R27" i="8"/>
  <c r="R35" i="8"/>
  <c r="R43" i="8"/>
  <c r="R51" i="8"/>
  <c r="R59" i="8"/>
  <c r="R67" i="8"/>
  <c r="R72" i="8"/>
  <c r="R28" i="8"/>
  <c r="R36" i="8"/>
  <c r="R44" i="8"/>
  <c r="R52" i="8"/>
  <c r="R60" i="8"/>
  <c r="R68" i="8"/>
  <c r="R62" i="8"/>
  <c r="R39" i="8"/>
  <c r="R55" i="8"/>
  <c r="R71" i="8"/>
  <c r="R40" i="8"/>
  <c r="R56" i="8"/>
  <c r="R29" i="8"/>
  <c r="R37" i="8"/>
  <c r="R45" i="8"/>
  <c r="R53" i="8"/>
  <c r="R61" i="8"/>
  <c r="R69" i="8"/>
  <c r="R30" i="8"/>
  <c r="R38" i="8"/>
  <c r="R46" i="8"/>
  <c r="R54" i="8"/>
  <c r="R70" i="8"/>
  <c r="R31" i="8"/>
  <c r="R47" i="8"/>
  <c r="R63" i="8"/>
  <c r="R24" i="8"/>
  <c r="R32" i="8"/>
  <c r="R48" i="8"/>
  <c r="R64" i="8"/>
  <c r="L73" i="8" l="1"/>
  <c r="J73" i="8"/>
  <c r="L72" i="8"/>
  <c r="J72" i="8"/>
  <c r="L71" i="8"/>
  <c r="J71" i="8"/>
  <c r="L70" i="8"/>
  <c r="J70" i="8"/>
  <c r="L69" i="8"/>
  <c r="J69" i="8"/>
  <c r="L68" i="8"/>
  <c r="J68" i="8"/>
  <c r="L67" i="8"/>
  <c r="J67" i="8"/>
  <c r="L66" i="8"/>
  <c r="J66" i="8"/>
  <c r="L65" i="8"/>
  <c r="J65" i="8"/>
  <c r="L64" i="8"/>
  <c r="J64" i="8"/>
  <c r="L63" i="8"/>
  <c r="J63" i="8"/>
  <c r="L62" i="8"/>
  <c r="J62" i="8"/>
  <c r="L61" i="8"/>
  <c r="J61" i="8"/>
  <c r="L60" i="8"/>
  <c r="J60" i="8"/>
  <c r="L59" i="8"/>
  <c r="J59" i="8"/>
  <c r="L58" i="8"/>
  <c r="J58" i="8"/>
  <c r="L57" i="8"/>
  <c r="J57" i="8"/>
  <c r="L56" i="8"/>
  <c r="J56" i="8"/>
  <c r="L55" i="8"/>
  <c r="J55" i="8"/>
  <c r="L54" i="8"/>
  <c r="J54" i="8"/>
  <c r="L53" i="8"/>
  <c r="J53" i="8"/>
  <c r="L52" i="8"/>
  <c r="J52" i="8"/>
  <c r="L51" i="8"/>
  <c r="J51" i="8"/>
  <c r="L50" i="8"/>
  <c r="J50" i="8"/>
  <c r="L49" i="8"/>
  <c r="J49" i="8"/>
  <c r="L48" i="8"/>
  <c r="J48" i="8"/>
  <c r="L47" i="8"/>
  <c r="J47" i="8"/>
  <c r="L46" i="8"/>
  <c r="J46" i="8"/>
  <c r="L45" i="8"/>
  <c r="J45" i="8"/>
  <c r="L44" i="8"/>
  <c r="J44" i="8"/>
  <c r="L43" i="8"/>
  <c r="J43" i="8"/>
  <c r="L42" i="8"/>
  <c r="J42" i="8"/>
  <c r="L41" i="8"/>
  <c r="J41" i="8"/>
  <c r="L40" i="8"/>
  <c r="J40" i="8"/>
  <c r="L39" i="8"/>
  <c r="J39" i="8"/>
  <c r="L38" i="8"/>
  <c r="J38" i="8"/>
  <c r="L37" i="8"/>
  <c r="J37" i="8"/>
  <c r="L36" i="8"/>
  <c r="J36" i="8"/>
  <c r="L35" i="8"/>
  <c r="J35" i="8"/>
  <c r="L34" i="8"/>
  <c r="J34" i="8"/>
  <c r="L33" i="8"/>
  <c r="J33" i="8"/>
  <c r="L32" i="8"/>
  <c r="J32" i="8"/>
  <c r="L31" i="8"/>
  <c r="J31" i="8"/>
  <c r="L30" i="8"/>
  <c r="J30" i="8"/>
  <c r="L29" i="8"/>
  <c r="J29" i="8"/>
  <c r="L28" i="8"/>
  <c r="J28" i="8"/>
  <c r="L27" i="8"/>
  <c r="J27" i="8"/>
  <c r="L26" i="8"/>
  <c r="J26" i="8"/>
  <c r="L25" i="8"/>
  <c r="J25" i="8"/>
  <c r="L24" i="8"/>
  <c r="J24" i="8"/>
  <c r="A24" i="8"/>
  <c r="J23" i="8"/>
  <c r="B23" i="8"/>
  <c r="O23" i="8" s="1"/>
  <c r="B7" i="8"/>
  <c r="B10" i="8" s="1"/>
  <c r="B19" i="8" s="1"/>
  <c r="A25" i="8" l="1"/>
  <c r="Q24" i="8"/>
  <c r="B9" i="8"/>
  <c r="B18" i="8" s="1"/>
  <c r="B20" i="8" s="1"/>
  <c r="B24" i="8"/>
  <c r="A26" i="8" l="1"/>
  <c r="Q25" i="8"/>
  <c r="B25" i="8"/>
  <c r="C25" i="8" s="1"/>
  <c r="C23" i="8"/>
  <c r="K23" i="8" s="1"/>
  <c r="O24" i="8"/>
  <c r="C24" i="8"/>
  <c r="O25" i="8" l="1"/>
  <c r="Q26" i="8"/>
  <c r="B26" i="8"/>
  <c r="A27" i="8"/>
  <c r="F25" i="8"/>
  <c r="G25" i="8"/>
  <c r="G24" i="8"/>
  <c r="F24" i="8"/>
  <c r="I23" i="8"/>
  <c r="F23" i="8"/>
  <c r="G23" i="8"/>
  <c r="M23" i="8"/>
  <c r="H23" i="8"/>
  <c r="D23" i="8"/>
  <c r="E23" i="8"/>
  <c r="E25" i="8"/>
  <c r="I25" i="8"/>
  <c r="D25" i="8"/>
  <c r="K25" i="8"/>
  <c r="H25" i="8"/>
  <c r="M25" i="8"/>
  <c r="K24" i="8"/>
  <c r="E24" i="8"/>
  <c r="D24" i="8"/>
  <c r="I24" i="8"/>
  <c r="H24" i="8"/>
  <c r="M24" i="8"/>
  <c r="T25" i="8" l="1"/>
  <c r="T23" i="8"/>
  <c r="S23" i="8"/>
  <c r="S25" i="8"/>
  <c r="N23" i="8"/>
  <c r="U23" i="8" s="1"/>
  <c r="T24" i="8"/>
  <c r="S24" i="8"/>
  <c r="Q27" i="8"/>
  <c r="A28" i="8"/>
  <c r="B27" i="8"/>
  <c r="C26" i="8"/>
  <c r="O26" i="8"/>
  <c r="N24" i="8"/>
  <c r="N25" i="8"/>
  <c r="E26" i="8" l="1"/>
  <c r="K26" i="8"/>
  <c r="F26" i="8"/>
  <c r="I26" i="8"/>
  <c r="M26" i="8"/>
  <c r="G26" i="8"/>
  <c r="D26" i="8"/>
  <c r="H26" i="8"/>
  <c r="C27" i="8"/>
  <c r="O27" i="8"/>
  <c r="Q28" i="8"/>
  <c r="A29" i="8"/>
  <c r="B28" i="8"/>
  <c r="W23" i="8"/>
  <c r="V23" i="8"/>
  <c r="P23" i="8"/>
  <c r="W24" i="8"/>
  <c r="W25" i="8"/>
  <c r="U25" i="8"/>
  <c r="P25" i="8"/>
  <c r="U24" i="8"/>
  <c r="P24" i="8"/>
  <c r="V25" i="8"/>
  <c r="V24" i="8"/>
  <c r="T26" i="8" l="1"/>
  <c r="S26" i="8"/>
  <c r="C28" i="8"/>
  <c r="O28" i="8"/>
  <c r="Q29" i="8"/>
  <c r="A30" i="8"/>
  <c r="B29" i="8"/>
  <c r="N26" i="8"/>
  <c r="K27" i="8"/>
  <c r="D27" i="8"/>
  <c r="I27" i="8"/>
  <c r="G27" i="8"/>
  <c r="M27" i="8"/>
  <c r="E27" i="8"/>
  <c r="H27" i="8"/>
  <c r="F27" i="8"/>
  <c r="S27" i="8" l="1"/>
  <c r="T27" i="8"/>
  <c r="Q30" i="8"/>
  <c r="A31" i="8"/>
  <c r="B30" i="8"/>
  <c r="O29" i="8"/>
  <c r="C29" i="8"/>
  <c r="N27" i="8"/>
  <c r="U26" i="8"/>
  <c r="P26" i="8"/>
  <c r="D28" i="8"/>
  <c r="I28" i="8"/>
  <c r="H28" i="8"/>
  <c r="G28" i="8"/>
  <c r="M28" i="8"/>
  <c r="F28" i="8"/>
  <c r="K28" i="8"/>
  <c r="E28" i="8"/>
  <c r="V26" i="8"/>
  <c r="W26" i="8"/>
  <c r="T28" i="8" l="1"/>
  <c r="S28" i="8"/>
  <c r="W27" i="8"/>
  <c r="V27" i="8"/>
  <c r="N28" i="8"/>
  <c r="F29" i="8"/>
  <c r="E29" i="8"/>
  <c r="D29" i="8"/>
  <c r="K29" i="8"/>
  <c r="H29" i="8"/>
  <c r="M29" i="8"/>
  <c r="G29" i="8"/>
  <c r="I29" i="8"/>
  <c r="Q31" i="8"/>
  <c r="A32" i="8"/>
  <c r="B31" i="8"/>
  <c r="U27" i="8"/>
  <c r="P27" i="8"/>
  <c r="C30" i="8"/>
  <c r="O30" i="8"/>
  <c r="T29" i="8" l="1"/>
  <c r="S29" i="8"/>
  <c r="W28" i="8"/>
  <c r="V28" i="8"/>
  <c r="N29" i="8"/>
  <c r="E30" i="8"/>
  <c r="H30" i="8"/>
  <c r="F30" i="8"/>
  <c r="K30" i="8"/>
  <c r="D30" i="8"/>
  <c r="G30" i="8"/>
  <c r="M30" i="8"/>
  <c r="I30" i="8"/>
  <c r="O31" i="8"/>
  <c r="C31" i="8"/>
  <c r="U28" i="8"/>
  <c r="P28" i="8"/>
  <c r="Q32" i="8"/>
  <c r="A33" i="8"/>
  <c r="B32" i="8"/>
  <c r="S30" i="8" l="1"/>
  <c r="T30" i="8"/>
  <c r="P29" i="8"/>
  <c r="U29" i="8"/>
  <c r="W29" i="8"/>
  <c r="G31" i="8"/>
  <c r="D31" i="8"/>
  <c r="K31" i="8"/>
  <c r="F31" i="8"/>
  <c r="E31" i="8"/>
  <c r="I31" i="8"/>
  <c r="H31" i="8"/>
  <c r="M31" i="8"/>
  <c r="Q33" i="8"/>
  <c r="B33" i="8"/>
  <c r="A34" i="8"/>
  <c r="V29" i="8"/>
  <c r="C32" i="8"/>
  <c r="O32" i="8"/>
  <c r="N30" i="8"/>
  <c r="T31" i="8" l="1"/>
  <c r="S31" i="8"/>
  <c r="P30" i="8"/>
  <c r="U30" i="8"/>
  <c r="V30" i="8"/>
  <c r="C33" i="8"/>
  <c r="O33" i="8"/>
  <c r="W30" i="8"/>
  <c r="N31" i="8"/>
  <c r="Q34" i="8"/>
  <c r="A35" i="8"/>
  <c r="B34" i="8"/>
  <c r="G32" i="8"/>
  <c r="H32" i="8"/>
  <c r="F32" i="8"/>
  <c r="K32" i="8"/>
  <c r="D32" i="8"/>
  <c r="I32" i="8"/>
  <c r="M32" i="8"/>
  <c r="E32" i="8"/>
  <c r="T32" i="8" l="1"/>
  <c r="S32" i="8"/>
  <c r="W31" i="8"/>
  <c r="V31" i="8"/>
  <c r="P31" i="8"/>
  <c r="U31" i="8"/>
  <c r="C34" i="8"/>
  <c r="O34" i="8"/>
  <c r="N32" i="8"/>
  <c r="Q35" i="8"/>
  <c r="A36" i="8"/>
  <c r="B35" i="8"/>
  <c r="F33" i="8"/>
  <c r="I33" i="8"/>
  <c r="G33" i="8"/>
  <c r="D33" i="8"/>
  <c r="E33" i="8"/>
  <c r="H33" i="8"/>
  <c r="M33" i="8"/>
  <c r="K33" i="8"/>
  <c r="S33" i="8" l="1"/>
  <c r="T33" i="8"/>
  <c r="W32" i="8"/>
  <c r="V32" i="8"/>
  <c r="U32" i="8"/>
  <c r="P32" i="8"/>
  <c r="O35" i="8"/>
  <c r="C35" i="8"/>
  <c r="M34" i="8"/>
  <c r="F34" i="8"/>
  <c r="H34" i="8"/>
  <c r="E34" i="8"/>
  <c r="I34" i="8"/>
  <c r="G34" i="8"/>
  <c r="K34" i="8"/>
  <c r="D34" i="8"/>
  <c r="Q36" i="8"/>
  <c r="B36" i="8"/>
  <c r="A37" i="8"/>
  <c r="N33" i="8"/>
  <c r="T34" i="8" l="1"/>
  <c r="S34" i="8"/>
  <c r="V33" i="8"/>
  <c r="D35" i="8"/>
  <c r="G35" i="8"/>
  <c r="I35" i="8"/>
  <c r="M35" i="8"/>
  <c r="K35" i="8"/>
  <c r="F35" i="8"/>
  <c r="H35" i="8"/>
  <c r="E35" i="8"/>
  <c r="N34" i="8"/>
  <c r="Q37" i="8"/>
  <c r="B37" i="8"/>
  <c r="A38" i="8"/>
  <c r="P33" i="8"/>
  <c r="U33" i="8"/>
  <c r="O36" i="8"/>
  <c r="C36" i="8"/>
  <c r="W33" i="8"/>
  <c r="S35" i="8" l="1"/>
  <c r="T35" i="8"/>
  <c r="W34" i="8"/>
  <c r="V34" i="8"/>
  <c r="Q38" i="8"/>
  <c r="B38" i="8"/>
  <c r="A39" i="8"/>
  <c r="N35" i="8"/>
  <c r="E36" i="8"/>
  <c r="D36" i="8"/>
  <c r="I36" i="8"/>
  <c r="H36" i="8"/>
  <c r="K36" i="8"/>
  <c r="G36" i="8"/>
  <c r="F36" i="8"/>
  <c r="M36" i="8"/>
  <c r="O37" i="8"/>
  <c r="C37" i="8"/>
  <c r="U34" i="8"/>
  <c r="P34" i="8"/>
  <c r="S36" i="8" l="1"/>
  <c r="T36" i="8"/>
  <c r="W35" i="8"/>
  <c r="N36" i="8"/>
  <c r="P35" i="8"/>
  <c r="U35" i="8"/>
  <c r="M37" i="8"/>
  <c r="I37" i="8"/>
  <c r="G37" i="8"/>
  <c r="D37" i="8"/>
  <c r="H37" i="8"/>
  <c r="E37" i="8"/>
  <c r="K37" i="8"/>
  <c r="F37" i="8"/>
  <c r="V35" i="8"/>
  <c r="Q39" i="8"/>
  <c r="A40" i="8"/>
  <c r="B39" i="8"/>
  <c r="O38" i="8"/>
  <c r="C38" i="8"/>
  <c r="T37" i="8" l="1"/>
  <c r="S37" i="8"/>
  <c r="W36" i="8"/>
  <c r="Q40" i="8"/>
  <c r="A41" i="8"/>
  <c r="B40" i="8"/>
  <c r="O39" i="8"/>
  <c r="C39" i="8"/>
  <c r="N37" i="8"/>
  <c r="P36" i="8"/>
  <c r="U36" i="8"/>
  <c r="G38" i="8"/>
  <c r="H38" i="8"/>
  <c r="I38" i="8"/>
  <c r="E38" i="8"/>
  <c r="F38" i="8"/>
  <c r="M38" i="8"/>
  <c r="K38" i="8"/>
  <c r="D38" i="8"/>
  <c r="V36" i="8"/>
  <c r="T38" i="8" l="1"/>
  <c r="S38" i="8"/>
  <c r="W37" i="8"/>
  <c r="D39" i="8"/>
  <c r="I39" i="8"/>
  <c r="E39" i="8"/>
  <c r="G39" i="8"/>
  <c r="M39" i="8"/>
  <c r="H39" i="8"/>
  <c r="F39" i="8"/>
  <c r="K39" i="8"/>
  <c r="N38" i="8"/>
  <c r="C40" i="8"/>
  <c r="O40" i="8"/>
  <c r="P37" i="8"/>
  <c r="U37" i="8"/>
  <c r="Q41" i="8"/>
  <c r="B41" i="8"/>
  <c r="A42" i="8"/>
  <c r="V37" i="8"/>
  <c r="S39" i="8" l="1"/>
  <c r="T39" i="8"/>
  <c r="W38" i="8"/>
  <c r="V38" i="8"/>
  <c r="Q42" i="8"/>
  <c r="A43" i="8"/>
  <c r="B42" i="8"/>
  <c r="C41" i="8"/>
  <c r="O41" i="8"/>
  <c r="H40" i="8"/>
  <c r="G40" i="8"/>
  <c r="K40" i="8"/>
  <c r="F40" i="8"/>
  <c r="I40" i="8"/>
  <c r="D40" i="8"/>
  <c r="M40" i="8"/>
  <c r="E40" i="8"/>
  <c r="U38" i="8"/>
  <c r="P38" i="8"/>
  <c r="N39" i="8"/>
  <c r="T40" i="8" l="1"/>
  <c r="S40" i="8"/>
  <c r="W39" i="8"/>
  <c r="N40" i="8"/>
  <c r="M41" i="8"/>
  <c r="I41" i="8"/>
  <c r="D41" i="8"/>
  <c r="F41" i="8"/>
  <c r="K41" i="8"/>
  <c r="E41" i="8"/>
  <c r="H41" i="8"/>
  <c r="G41" i="8"/>
  <c r="C42" i="8"/>
  <c r="O42" i="8"/>
  <c r="P39" i="8"/>
  <c r="U39" i="8"/>
  <c r="V39" i="8"/>
  <c r="Q43" i="8"/>
  <c r="B43" i="8"/>
  <c r="A44" i="8"/>
  <c r="S41" i="8" l="1"/>
  <c r="T41" i="8"/>
  <c r="U40" i="8"/>
  <c r="W40" i="8"/>
  <c r="P40" i="8"/>
  <c r="V40" i="8"/>
  <c r="G42" i="8"/>
  <c r="H42" i="8"/>
  <c r="K42" i="8"/>
  <c r="D42" i="8"/>
  <c r="F42" i="8"/>
  <c r="E42" i="8"/>
  <c r="M42" i="8"/>
  <c r="I42" i="8"/>
  <c r="N41" i="8"/>
  <c r="C43" i="8"/>
  <c r="O43" i="8"/>
  <c r="Q44" i="8"/>
  <c r="A45" i="8"/>
  <c r="B44" i="8"/>
  <c r="S42" i="8" l="1"/>
  <c r="T42" i="8"/>
  <c r="W41" i="8"/>
  <c r="Q45" i="8"/>
  <c r="A46" i="8"/>
  <c r="B45" i="8"/>
  <c r="H43" i="8"/>
  <c r="M43" i="8"/>
  <c r="G43" i="8"/>
  <c r="K43" i="8"/>
  <c r="I43" i="8"/>
  <c r="F43" i="8"/>
  <c r="E43" i="8"/>
  <c r="D43" i="8"/>
  <c r="U41" i="8"/>
  <c r="P41" i="8"/>
  <c r="N42" i="8"/>
  <c r="C44" i="8"/>
  <c r="O44" i="8"/>
  <c r="V41" i="8"/>
  <c r="S43" i="8" l="1"/>
  <c r="T43" i="8"/>
  <c r="I44" i="8"/>
  <c r="K44" i="8"/>
  <c r="G44" i="8"/>
  <c r="H44" i="8"/>
  <c r="M44" i="8"/>
  <c r="D44" i="8"/>
  <c r="F44" i="8"/>
  <c r="E44" i="8"/>
  <c r="U42" i="8"/>
  <c r="P42" i="8"/>
  <c r="C45" i="8"/>
  <c r="O45" i="8"/>
  <c r="V42" i="8"/>
  <c r="Q46" i="8"/>
  <c r="A47" i="8"/>
  <c r="B46" i="8"/>
  <c r="N43" i="8"/>
  <c r="W42" i="8"/>
  <c r="T44" i="8" l="1"/>
  <c r="S44" i="8"/>
  <c r="V43" i="8"/>
  <c r="M45" i="8"/>
  <c r="I45" i="8"/>
  <c r="D45" i="8"/>
  <c r="F45" i="8"/>
  <c r="E45" i="8"/>
  <c r="H45" i="8"/>
  <c r="K45" i="8"/>
  <c r="G45" i="8"/>
  <c r="O46" i="8"/>
  <c r="C46" i="8"/>
  <c r="Q47" i="8"/>
  <c r="A48" i="8"/>
  <c r="B47" i="8"/>
  <c r="U43" i="8"/>
  <c r="P43" i="8"/>
  <c r="N44" i="8"/>
  <c r="W43" i="8"/>
  <c r="S45" i="8" l="1"/>
  <c r="T45" i="8"/>
  <c r="V44" i="8"/>
  <c r="W44" i="8"/>
  <c r="N45" i="8"/>
  <c r="U44" i="8"/>
  <c r="P44" i="8"/>
  <c r="E46" i="8"/>
  <c r="D46" i="8"/>
  <c r="I46" i="8"/>
  <c r="K46" i="8"/>
  <c r="G46" i="8"/>
  <c r="M46" i="8"/>
  <c r="F46" i="8"/>
  <c r="H46" i="8"/>
  <c r="O47" i="8"/>
  <c r="C47" i="8"/>
  <c r="Q48" i="8"/>
  <c r="A49" i="8"/>
  <c r="B48" i="8"/>
  <c r="T46" i="8" l="1"/>
  <c r="S46" i="8"/>
  <c r="W45" i="8"/>
  <c r="V45" i="8"/>
  <c r="P45" i="8"/>
  <c r="U45" i="8"/>
  <c r="N46" i="8"/>
  <c r="H47" i="8"/>
  <c r="E47" i="8"/>
  <c r="I47" i="8"/>
  <c r="M47" i="8"/>
  <c r="G47" i="8"/>
  <c r="F47" i="8"/>
  <c r="D47" i="8"/>
  <c r="K47" i="8"/>
  <c r="O48" i="8"/>
  <c r="C48" i="8"/>
  <c r="Q49" i="8"/>
  <c r="A50" i="8"/>
  <c r="B49" i="8"/>
  <c r="S47" i="8" l="1"/>
  <c r="T47" i="8"/>
  <c r="N47" i="8"/>
  <c r="U46" i="8"/>
  <c r="P46" i="8"/>
  <c r="O49" i="8"/>
  <c r="C49" i="8"/>
  <c r="V46" i="8"/>
  <c r="Q50" i="8"/>
  <c r="A51" i="8"/>
  <c r="B50" i="8"/>
  <c r="W46" i="8"/>
  <c r="E48" i="8"/>
  <c r="G48" i="8"/>
  <c r="H48" i="8"/>
  <c r="F48" i="8"/>
  <c r="K48" i="8"/>
  <c r="I48" i="8"/>
  <c r="D48" i="8"/>
  <c r="M48" i="8"/>
  <c r="T48" i="8" l="1"/>
  <c r="S48" i="8"/>
  <c r="C50" i="8"/>
  <c r="O50" i="8"/>
  <c r="Q51" i="8"/>
  <c r="A52" i="8"/>
  <c r="B51" i="8"/>
  <c r="P47" i="8"/>
  <c r="U47" i="8"/>
  <c r="V47" i="8"/>
  <c r="N48" i="8"/>
  <c r="F49" i="8"/>
  <c r="K49" i="8"/>
  <c r="G49" i="8"/>
  <c r="E49" i="8"/>
  <c r="H49" i="8"/>
  <c r="D49" i="8"/>
  <c r="I49" i="8"/>
  <c r="M49" i="8"/>
  <c r="W47" i="8"/>
  <c r="T49" i="8" l="1"/>
  <c r="S49" i="8"/>
  <c r="W48" i="8"/>
  <c r="V48" i="8"/>
  <c r="N49" i="8"/>
  <c r="O51" i="8"/>
  <c r="C51" i="8"/>
  <c r="P48" i="8"/>
  <c r="U48" i="8"/>
  <c r="Q52" i="8"/>
  <c r="A53" i="8"/>
  <c r="B52" i="8"/>
  <c r="D50" i="8"/>
  <c r="I50" i="8"/>
  <c r="G50" i="8"/>
  <c r="M50" i="8"/>
  <c r="K50" i="8"/>
  <c r="F50" i="8"/>
  <c r="H50" i="8"/>
  <c r="E50" i="8"/>
  <c r="S50" i="8" l="1"/>
  <c r="T50" i="8"/>
  <c r="V49" i="8"/>
  <c r="W49" i="8"/>
  <c r="O52" i="8"/>
  <c r="C52" i="8"/>
  <c r="E51" i="8"/>
  <c r="M51" i="8"/>
  <c r="G51" i="8"/>
  <c r="K51" i="8"/>
  <c r="F51" i="8"/>
  <c r="D51" i="8"/>
  <c r="H51" i="8"/>
  <c r="I51" i="8"/>
  <c r="N50" i="8"/>
  <c r="Q53" i="8"/>
  <c r="A54" i="8"/>
  <c r="B53" i="8"/>
  <c r="U49" i="8"/>
  <c r="P49" i="8"/>
  <c r="S51" i="8" l="1"/>
  <c r="T51" i="8"/>
  <c r="P50" i="8"/>
  <c r="U50" i="8"/>
  <c r="N51" i="8"/>
  <c r="H52" i="8"/>
  <c r="G52" i="8"/>
  <c r="K52" i="8"/>
  <c r="F52" i="8"/>
  <c r="M52" i="8"/>
  <c r="E52" i="8"/>
  <c r="I52" i="8"/>
  <c r="D52" i="8"/>
  <c r="Q54" i="8"/>
  <c r="A55" i="8"/>
  <c r="B54" i="8"/>
  <c r="C53" i="8"/>
  <c r="O53" i="8"/>
  <c r="V50" i="8"/>
  <c r="W50" i="8"/>
  <c r="T52" i="8" l="1"/>
  <c r="S52" i="8"/>
  <c r="V51" i="8"/>
  <c r="U51" i="8"/>
  <c r="P51" i="8"/>
  <c r="W51" i="8"/>
  <c r="Q55" i="8"/>
  <c r="B55" i="8"/>
  <c r="A56" i="8"/>
  <c r="I53" i="8"/>
  <c r="F53" i="8"/>
  <c r="H53" i="8"/>
  <c r="D53" i="8"/>
  <c r="G53" i="8"/>
  <c r="E53" i="8"/>
  <c r="M53" i="8"/>
  <c r="K53" i="8"/>
  <c r="C54" i="8"/>
  <c r="O54" i="8"/>
  <c r="N52" i="8"/>
  <c r="T53" i="8" l="1"/>
  <c r="S53" i="8"/>
  <c r="N53" i="8"/>
  <c r="O55" i="8"/>
  <c r="C55" i="8"/>
  <c r="W52" i="8"/>
  <c r="P52" i="8"/>
  <c r="U52" i="8"/>
  <c r="E54" i="8"/>
  <c r="D54" i="8"/>
  <c r="F54" i="8"/>
  <c r="M54" i="8"/>
  <c r="H54" i="8"/>
  <c r="G54" i="8"/>
  <c r="I54" i="8"/>
  <c r="K54" i="8"/>
  <c r="V52" i="8"/>
  <c r="Q56" i="8"/>
  <c r="A57" i="8"/>
  <c r="B56" i="8"/>
  <c r="T54" i="8" l="1"/>
  <c r="S54" i="8"/>
  <c r="V53" i="8"/>
  <c r="Q57" i="8"/>
  <c r="A58" i="8"/>
  <c r="B57" i="8"/>
  <c r="K55" i="8"/>
  <c r="H55" i="8"/>
  <c r="M55" i="8"/>
  <c r="G55" i="8"/>
  <c r="F55" i="8"/>
  <c r="I55" i="8"/>
  <c r="E55" i="8"/>
  <c r="D55" i="8"/>
  <c r="N54" i="8"/>
  <c r="O56" i="8"/>
  <c r="C56" i="8"/>
  <c r="U53" i="8"/>
  <c r="W53" i="8"/>
  <c r="P53" i="8"/>
  <c r="S55" i="8" l="1"/>
  <c r="T55" i="8"/>
  <c r="V54" i="8"/>
  <c r="I56" i="8"/>
  <c r="D56" i="8"/>
  <c r="K56" i="8"/>
  <c r="E56" i="8"/>
  <c r="G56" i="8"/>
  <c r="H56" i="8"/>
  <c r="M56" i="8"/>
  <c r="F56" i="8"/>
  <c r="C57" i="8"/>
  <c r="O57" i="8"/>
  <c r="Q58" i="8"/>
  <c r="A59" i="8"/>
  <c r="B58" i="8"/>
  <c r="N55" i="8"/>
  <c r="U54" i="8"/>
  <c r="P54" i="8"/>
  <c r="W54" i="8"/>
  <c r="S56" i="8" l="1"/>
  <c r="T56" i="8"/>
  <c r="M57" i="8"/>
  <c r="E57" i="8"/>
  <c r="K57" i="8"/>
  <c r="F57" i="8"/>
  <c r="H57" i="8"/>
  <c r="G57" i="8"/>
  <c r="I57" i="8"/>
  <c r="D57" i="8"/>
  <c r="V55" i="8"/>
  <c r="N56" i="8"/>
  <c r="P55" i="8"/>
  <c r="U55" i="8"/>
  <c r="O58" i="8"/>
  <c r="C58" i="8"/>
  <c r="Q59" i="8"/>
  <c r="A60" i="8"/>
  <c r="B59" i="8"/>
  <c r="W55" i="8"/>
  <c r="S57" i="8" l="1"/>
  <c r="T57" i="8"/>
  <c r="W56" i="8"/>
  <c r="V56" i="8"/>
  <c r="Q60" i="8"/>
  <c r="B60" i="8"/>
  <c r="A61" i="8"/>
  <c r="I58" i="8"/>
  <c r="F58" i="8"/>
  <c r="D58" i="8"/>
  <c r="H58" i="8"/>
  <c r="G58" i="8"/>
  <c r="K58" i="8"/>
  <c r="E58" i="8"/>
  <c r="M58" i="8"/>
  <c r="C59" i="8"/>
  <c r="O59" i="8"/>
  <c r="P56" i="8"/>
  <c r="U56" i="8"/>
  <c r="N57" i="8"/>
  <c r="T58" i="8" l="1"/>
  <c r="S58" i="8"/>
  <c r="Q61" i="8"/>
  <c r="A62" i="8"/>
  <c r="B61" i="8"/>
  <c r="U57" i="8"/>
  <c r="P57" i="8"/>
  <c r="C60" i="8"/>
  <c r="O60" i="8"/>
  <c r="I59" i="8"/>
  <c r="M59" i="8"/>
  <c r="G59" i="8"/>
  <c r="D59" i="8"/>
  <c r="K59" i="8"/>
  <c r="E59" i="8"/>
  <c r="H59" i="8"/>
  <c r="F59" i="8"/>
  <c r="N58" i="8"/>
  <c r="V57" i="8"/>
  <c r="W57" i="8"/>
  <c r="S59" i="8" l="1"/>
  <c r="T59" i="8"/>
  <c r="V58" i="8"/>
  <c r="K60" i="8"/>
  <c r="I60" i="8"/>
  <c r="M60" i="8"/>
  <c r="H60" i="8"/>
  <c r="G60" i="8"/>
  <c r="D60" i="8"/>
  <c r="F60" i="8"/>
  <c r="E60" i="8"/>
  <c r="O61" i="8"/>
  <c r="C61" i="8"/>
  <c r="U58" i="8"/>
  <c r="P58" i="8"/>
  <c r="W58" i="8"/>
  <c r="Q62" i="8"/>
  <c r="B62" i="8"/>
  <c r="A63" i="8"/>
  <c r="N59" i="8"/>
  <c r="T60" i="8" l="1"/>
  <c r="S60" i="8"/>
  <c r="V59" i="8"/>
  <c r="D61" i="8"/>
  <c r="K61" i="8"/>
  <c r="M61" i="8"/>
  <c r="I61" i="8"/>
  <c r="G61" i="8"/>
  <c r="E61" i="8"/>
  <c r="F61" i="8"/>
  <c r="H61" i="8"/>
  <c r="Q63" i="8"/>
  <c r="A64" i="8"/>
  <c r="B63" i="8"/>
  <c r="N60" i="8"/>
  <c r="O62" i="8"/>
  <c r="C62" i="8"/>
  <c r="U59" i="8"/>
  <c r="P59" i="8"/>
  <c r="W59" i="8"/>
  <c r="S61" i="8" l="1"/>
  <c r="T61" i="8"/>
  <c r="C63" i="8"/>
  <c r="O63" i="8"/>
  <c r="Q64" i="8"/>
  <c r="A65" i="8"/>
  <c r="B64" i="8"/>
  <c r="M62" i="8"/>
  <c r="H62" i="8"/>
  <c r="E62" i="8"/>
  <c r="K62" i="8"/>
  <c r="I62" i="8"/>
  <c r="G62" i="8"/>
  <c r="D62" i="8"/>
  <c r="F62" i="8"/>
  <c r="P60" i="8"/>
  <c r="U60" i="8"/>
  <c r="N61" i="8"/>
  <c r="V60" i="8"/>
  <c r="W60" i="8"/>
  <c r="S62" i="8" l="1"/>
  <c r="T62" i="8"/>
  <c r="V61" i="8"/>
  <c r="P61" i="8"/>
  <c r="U61" i="8"/>
  <c r="O64" i="8"/>
  <c r="C64" i="8"/>
  <c r="Q65" i="8"/>
  <c r="B65" i="8"/>
  <c r="A66" i="8"/>
  <c r="W61" i="8"/>
  <c r="N62" i="8"/>
  <c r="H63" i="8"/>
  <c r="I63" i="8"/>
  <c r="E63" i="8"/>
  <c r="G63" i="8"/>
  <c r="D63" i="8"/>
  <c r="K63" i="8"/>
  <c r="M63" i="8"/>
  <c r="F63" i="8"/>
  <c r="T63" i="8" l="1"/>
  <c r="S63" i="8"/>
  <c r="W62" i="8"/>
  <c r="V62" i="8"/>
  <c r="C65" i="8"/>
  <c r="O65" i="8"/>
  <c r="N63" i="8"/>
  <c r="E64" i="8"/>
  <c r="D64" i="8"/>
  <c r="H64" i="8"/>
  <c r="G64" i="8"/>
  <c r="K64" i="8"/>
  <c r="I64" i="8"/>
  <c r="F64" i="8"/>
  <c r="M64" i="8"/>
  <c r="Q66" i="8"/>
  <c r="B66" i="8"/>
  <c r="A67" i="8"/>
  <c r="P62" i="8"/>
  <c r="U62" i="8"/>
  <c r="T64" i="8" l="1"/>
  <c r="S64" i="8"/>
  <c r="V63" i="8"/>
  <c r="U63" i="8"/>
  <c r="P63" i="8"/>
  <c r="O66" i="8"/>
  <c r="C66" i="8"/>
  <c r="Q67" i="8"/>
  <c r="A68" i="8"/>
  <c r="B67" i="8"/>
  <c r="I65" i="8"/>
  <c r="M65" i="8"/>
  <c r="F65" i="8"/>
  <c r="E65" i="8"/>
  <c r="G65" i="8"/>
  <c r="K65" i="8"/>
  <c r="H65" i="8"/>
  <c r="D65" i="8"/>
  <c r="N64" i="8"/>
  <c r="W63" i="8"/>
  <c r="S65" i="8" l="1"/>
  <c r="T65" i="8"/>
  <c r="Q68" i="8"/>
  <c r="B68" i="8"/>
  <c r="A69" i="8"/>
  <c r="P64" i="8"/>
  <c r="U64" i="8"/>
  <c r="N65" i="8"/>
  <c r="D66" i="8"/>
  <c r="E66" i="8"/>
  <c r="G66" i="8"/>
  <c r="I66" i="8"/>
  <c r="K66" i="8"/>
  <c r="M66" i="8"/>
  <c r="F66" i="8"/>
  <c r="H66" i="8"/>
  <c r="V64" i="8"/>
  <c r="C67" i="8"/>
  <c r="O67" i="8"/>
  <c r="W64" i="8"/>
  <c r="T66" i="8" l="1"/>
  <c r="S66" i="8"/>
  <c r="W65" i="8"/>
  <c r="V65" i="8"/>
  <c r="Q69" i="8"/>
  <c r="B69" i="8"/>
  <c r="A70" i="8"/>
  <c r="N66" i="8"/>
  <c r="C68" i="8"/>
  <c r="O68" i="8"/>
  <c r="E67" i="8"/>
  <c r="I67" i="8"/>
  <c r="F67" i="8"/>
  <c r="K67" i="8"/>
  <c r="G67" i="8"/>
  <c r="M67" i="8"/>
  <c r="H67" i="8"/>
  <c r="D67" i="8"/>
  <c r="U65" i="8"/>
  <c r="P65" i="8"/>
  <c r="S67" i="8" l="1"/>
  <c r="T67" i="8"/>
  <c r="U66" i="8"/>
  <c r="P66" i="8"/>
  <c r="V66" i="8"/>
  <c r="N67" i="8"/>
  <c r="Q70" i="8"/>
  <c r="A71" i="8"/>
  <c r="B70" i="8"/>
  <c r="C69" i="8"/>
  <c r="O69" i="8"/>
  <c r="I68" i="8"/>
  <c r="D68" i="8"/>
  <c r="H68" i="8"/>
  <c r="E68" i="8"/>
  <c r="M68" i="8"/>
  <c r="K68" i="8"/>
  <c r="G68" i="8"/>
  <c r="F68" i="8"/>
  <c r="W66" i="8"/>
  <c r="T68" i="8" l="1"/>
  <c r="S68" i="8"/>
  <c r="P67" i="8"/>
  <c r="U67" i="8"/>
  <c r="H69" i="8"/>
  <c r="D69" i="8"/>
  <c r="E69" i="8"/>
  <c r="F69" i="8"/>
  <c r="K69" i="8"/>
  <c r="I69" i="8"/>
  <c r="G69" i="8"/>
  <c r="M69" i="8"/>
  <c r="V67" i="8"/>
  <c r="W67" i="8"/>
  <c r="O70" i="8"/>
  <c r="C70" i="8"/>
  <c r="N68" i="8"/>
  <c r="Q71" i="8"/>
  <c r="A72" i="8"/>
  <c r="B71" i="8"/>
  <c r="T69" i="8" l="1"/>
  <c r="S69" i="8"/>
  <c r="N69" i="8"/>
  <c r="P68" i="8"/>
  <c r="U68" i="8"/>
  <c r="I70" i="8"/>
  <c r="F70" i="8"/>
  <c r="K70" i="8"/>
  <c r="G70" i="8"/>
  <c r="D70" i="8"/>
  <c r="M70" i="8"/>
  <c r="H70" i="8"/>
  <c r="E70" i="8"/>
  <c r="C71" i="8"/>
  <c r="O71" i="8"/>
  <c r="V68" i="8"/>
  <c r="Q72" i="8"/>
  <c r="B72" i="8"/>
  <c r="A73" i="8"/>
  <c r="W68" i="8"/>
  <c r="T70" i="8" l="1"/>
  <c r="S70" i="8"/>
  <c r="W69" i="8"/>
  <c r="V69" i="8"/>
  <c r="N70" i="8"/>
  <c r="E71" i="8"/>
  <c r="H71" i="8"/>
  <c r="K71" i="8"/>
  <c r="D71" i="8"/>
  <c r="M71" i="8"/>
  <c r="I71" i="8"/>
  <c r="G71" i="8"/>
  <c r="F71" i="8"/>
  <c r="O72" i="8"/>
  <c r="C72" i="8"/>
  <c r="B73" i="8"/>
  <c r="Q73" i="8"/>
  <c r="P69" i="8"/>
  <c r="U69" i="8"/>
  <c r="T71" i="8" l="1"/>
  <c r="S71" i="8"/>
  <c r="P70" i="8"/>
  <c r="U70" i="8"/>
  <c r="V70" i="8"/>
  <c r="O73" i="8"/>
  <c r="C73" i="8"/>
  <c r="I72" i="8"/>
  <c r="H72" i="8"/>
  <c r="K72" i="8"/>
  <c r="G72" i="8"/>
  <c r="M72" i="8"/>
  <c r="F72" i="8"/>
  <c r="D72" i="8"/>
  <c r="E72" i="8"/>
  <c r="N71" i="8"/>
  <c r="W70" i="8"/>
  <c r="S72" i="8" l="1"/>
  <c r="T72" i="8"/>
  <c r="V71" i="8"/>
  <c r="G73" i="8"/>
  <c r="H73" i="8"/>
  <c r="D73" i="8"/>
  <c r="M73" i="8"/>
  <c r="I73" i="8"/>
  <c r="E73" i="8"/>
  <c r="F73" i="8"/>
  <c r="K73" i="8"/>
  <c r="U71" i="8"/>
  <c r="P71" i="8"/>
  <c r="N72" i="8"/>
  <c r="W71" i="8"/>
  <c r="S73" i="8" l="1"/>
  <c r="T73" i="8"/>
  <c r="W72" i="8"/>
  <c r="V72" i="8"/>
  <c r="N73" i="8"/>
  <c r="U72" i="8"/>
  <c r="P72" i="8"/>
  <c r="W73" i="8" l="1"/>
  <c r="V73" i="8"/>
  <c r="U73" i="8"/>
  <c r="P73" i="8"/>
  <c r="X23" i="8" s="1"/>
  <c r="Y23" i="8" s="1"/>
</calcChain>
</file>

<file path=xl/sharedStrings.xml><?xml version="1.0" encoding="utf-8"?>
<sst xmlns="http://schemas.openxmlformats.org/spreadsheetml/2006/main" count="218" uniqueCount="160">
  <si>
    <t>V</t>
  </si>
  <si>
    <t>Input Voltage</t>
  </si>
  <si>
    <t>Output Voltage</t>
  </si>
  <si>
    <t>Duty</t>
  </si>
  <si>
    <t>Calculated Duty Cycle</t>
  </si>
  <si>
    <t>Rdson_up</t>
  </si>
  <si>
    <t>mΩ</t>
  </si>
  <si>
    <t>Rdson_down</t>
  </si>
  <si>
    <t>L_dcr</t>
  </si>
  <si>
    <t>Inductor DCR</t>
  </si>
  <si>
    <t>Fsw</t>
  </si>
  <si>
    <t>kHz</t>
  </si>
  <si>
    <t>Total High Side Rdson</t>
  </si>
  <si>
    <t>Total Low Side Rdson</t>
  </si>
  <si>
    <t>Switching Frequency</t>
  </si>
  <si>
    <t>%</t>
  </si>
  <si>
    <t>Rohm App Note Efficiency Calculation of Buck Converter</t>
  </si>
  <si>
    <t>L</t>
  </si>
  <si>
    <t>uH</t>
  </si>
  <si>
    <t>Power Inductor</t>
  </si>
  <si>
    <t>Iout (A) RMS</t>
  </si>
  <si>
    <t>I_delta_on</t>
  </si>
  <si>
    <t>I_delta_off</t>
  </si>
  <si>
    <t>Ton</t>
  </si>
  <si>
    <t>Toff</t>
  </si>
  <si>
    <t>ns</t>
  </si>
  <si>
    <t>Buck On Time</t>
  </si>
  <si>
    <t>Buck Off Time</t>
  </si>
  <si>
    <t>A</t>
  </si>
  <si>
    <t xml:space="preserve">A </t>
  </si>
  <si>
    <t>Iout_max</t>
  </si>
  <si>
    <t>Max Load Current</t>
  </si>
  <si>
    <t>Ipk_pk/Iout</t>
  </si>
  <si>
    <t>Inductor Ripple to Max Current Ratio</t>
  </si>
  <si>
    <t>Factor</t>
  </si>
  <si>
    <t>High Side FET Pd (W)</t>
  </si>
  <si>
    <t>Low Side FET Pd (W)</t>
  </si>
  <si>
    <t>tr-H</t>
  </si>
  <si>
    <t>tf-H</t>
  </si>
  <si>
    <t>tr-L</t>
  </si>
  <si>
    <t>High Side FET Rise time</t>
  </si>
  <si>
    <t>High Side FET Fall time</t>
  </si>
  <si>
    <t>Low Side FET Rise time</t>
  </si>
  <si>
    <t>Low Side FET Fall time</t>
  </si>
  <si>
    <t>High Side FET Switch Pd (W)</t>
  </si>
  <si>
    <t>Low Side FET Switch Pd (W)</t>
  </si>
  <si>
    <t>Coss-H</t>
  </si>
  <si>
    <t>Coss-L</t>
  </si>
  <si>
    <t>pF</t>
  </si>
  <si>
    <t>FET Coss Switch Pd (W)</t>
  </si>
  <si>
    <t>Vsd-L</t>
  </si>
  <si>
    <t>Dead Time Pd (W)</t>
  </si>
  <si>
    <t>tdt_H</t>
  </si>
  <si>
    <t>tdt_L</t>
  </si>
  <si>
    <t>High to Low dead time</t>
  </si>
  <si>
    <t>Low to High dead time</t>
  </si>
  <si>
    <t>Qg_H</t>
  </si>
  <si>
    <t>Qg_L</t>
  </si>
  <si>
    <t>nC</t>
  </si>
  <si>
    <t>Gate Charge Pd (W)</t>
  </si>
  <si>
    <t>Vgs</t>
  </si>
  <si>
    <t>FET Gate Voltage</t>
  </si>
  <si>
    <t>Cout ESR</t>
  </si>
  <si>
    <t>Cin ESR</t>
  </si>
  <si>
    <t>Output capacitor total ESR</t>
  </si>
  <si>
    <t>Input capacitor total ESR</t>
  </si>
  <si>
    <t>Cap ESR Pd (W)</t>
  </si>
  <si>
    <t>Total Pd (W)</t>
  </si>
  <si>
    <t>Pout (W)</t>
  </si>
  <si>
    <t>Efficiency (%)</t>
  </si>
  <si>
    <t>Rsense</t>
  </si>
  <si>
    <t>Sense Resistor</t>
  </si>
  <si>
    <t>Conduction Pd (W)</t>
  </si>
  <si>
    <t>Switching
 Pd (W)</t>
  </si>
  <si>
    <t>Conduction Pd (%)</t>
  </si>
  <si>
    <t>Switching Pd (%)</t>
  </si>
  <si>
    <t>Inductor Up Ramp</t>
  </si>
  <si>
    <t xml:space="preserve">Inductor Down Ramp </t>
  </si>
  <si>
    <t>I_dc_ctrl</t>
  </si>
  <si>
    <t>mA</t>
  </si>
  <si>
    <t>V_dc_ctrl</t>
  </si>
  <si>
    <t>Peak Eff (%)</t>
  </si>
  <si>
    <t>Ctrl/Drv Bias Pd (W)</t>
  </si>
  <si>
    <t>Ctrl/Drv Bias Pd (%)</t>
  </si>
  <si>
    <t>L_ac</t>
  </si>
  <si>
    <t>AC Core Loss</t>
  </si>
  <si>
    <t>mW</t>
  </si>
  <si>
    <t>Inductors</t>
  </si>
  <si>
    <t>Manufacturer</t>
  </si>
  <si>
    <t>Value (uH)</t>
  </si>
  <si>
    <t>L_DCR (mΩ)</t>
  </si>
  <si>
    <t>GaN FETs</t>
  </si>
  <si>
    <t>Rdson (mΩ)</t>
  </si>
  <si>
    <t>Coss (pF)</t>
  </si>
  <si>
    <t>Vsd (V)</t>
  </si>
  <si>
    <t>Qg (nC)</t>
  </si>
  <si>
    <t>Inductor</t>
  </si>
  <si>
    <t>High Side FET</t>
  </si>
  <si>
    <t>Low Side FET</t>
  </si>
  <si>
    <t>Coilcraft</t>
  </si>
  <si>
    <t>P/N</t>
  </si>
  <si>
    <t>L_ac 500kHz core loss (mW)</t>
  </si>
  <si>
    <t>L_ac 800kHz core loss (mW)</t>
  </si>
  <si>
    <t>L_ac 1MHz core loss (mW)</t>
  </si>
  <si>
    <t>Intersil</t>
  </si>
  <si>
    <t>Vds (V)</t>
  </si>
  <si>
    <t># of high side FETs</t>
  </si>
  <si>
    <t># of low side FETs</t>
  </si>
  <si>
    <t>L_DCR + AC Pd (W)</t>
  </si>
  <si>
    <t>Rsense Pd (W)</t>
  </si>
  <si>
    <t>L_ac 300kHz core loss (mW)</t>
  </si>
  <si>
    <t>Freq (kHz)</t>
  </si>
  <si>
    <t>Input Data Into Green Cells; Some cells are drop down menus</t>
  </si>
  <si>
    <t># of phases</t>
  </si>
  <si>
    <t>PVIN</t>
  </si>
  <si>
    <t>VOUT</t>
  </si>
  <si>
    <t>Iout @ Peak Eff (A)</t>
  </si>
  <si>
    <t xml:space="preserve">Iout Avg (A) </t>
  </si>
  <si>
    <t>Iout Avg (A)</t>
  </si>
  <si>
    <t>Low Side FET Source-Drain Voltage</t>
  </si>
  <si>
    <t>SLR1070 - 0.12uH</t>
  </si>
  <si>
    <t>SLC1480 - 0.32uH</t>
  </si>
  <si>
    <t>XAL1010 - 0.68uH</t>
  </si>
  <si>
    <t>Estimate core loss (mW) *Note</t>
  </si>
  <si>
    <t>*Note: Estimated AC core loss is estimated by using polynomial curve fit of Coilcraft website calculator data</t>
  </si>
  <si>
    <t xml:space="preserve">*Note: Core loss  data for Coilcraft inductors are taken from Coilcraft website calculator for 25Arms and 30% ripple </t>
  </si>
  <si>
    <t>IC Operating Current</t>
  </si>
  <si>
    <t>IC Supply Voltage</t>
  </si>
  <si>
    <t>VIN</t>
  </si>
  <si>
    <t>Datasheet spec</t>
  </si>
  <si>
    <t>I_VIN (typ)</t>
  </si>
  <si>
    <t>I_VIN (max)</t>
  </si>
  <si>
    <t>Bench Data</t>
  </si>
  <si>
    <t>Calculated based on 1.5x typ</t>
  </si>
  <si>
    <t>Calculated based on bench ratio and 1.5x typ</t>
  </si>
  <si>
    <t>Linearly extrapolated from 100kHz and 1000kHz data</t>
  </si>
  <si>
    <t>This tab contains the ISL70005 Buck only, operating current as a function of VIN voltage and Fsw switching frequency.</t>
  </si>
  <si>
    <t>XFL4020 - 2.2uH</t>
  </si>
  <si>
    <t>High Side FET, 3V, typ</t>
  </si>
  <si>
    <t>High Side FET, 5.5V, typ</t>
  </si>
  <si>
    <t>Low Side FET, 3V, typ</t>
  </si>
  <si>
    <t>Low Side FET, 5.5V, typ</t>
  </si>
  <si>
    <t>High Side FET, 3V, max</t>
  </si>
  <si>
    <t>High Side FET, 5.5V, max</t>
  </si>
  <si>
    <t>Low Side FET, 3V, max</t>
  </si>
  <si>
    <t>Low Side FET, 5.5V, max</t>
  </si>
  <si>
    <t>FET Gate Charge modeled in Iq</t>
  </si>
  <si>
    <t>Coss loss modeled in Iq</t>
  </si>
  <si>
    <t>XAL4030 - 4.7uH</t>
  </si>
  <si>
    <t>XAL6060 - 15uH</t>
  </si>
  <si>
    <t>Used in 1MHz DS Curves</t>
  </si>
  <si>
    <t>Used in 5000kHz DS Curves</t>
  </si>
  <si>
    <t>Used in 100kHz DS Curves</t>
  </si>
  <si>
    <t>Reserved</t>
  </si>
  <si>
    <t>TBD</t>
  </si>
  <si>
    <t>Revision</t>
  </si>
  <si>
    <t>Date</t>
  </si>
  <si>
    <t>Notes</t>
  </si>
  <si>
    <t>Initial Version</t>
  </si>
  <si>
    <t>Gray cells are not to be changed.  They represent switching loss of ISL70005.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</si>
</sst>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0"/>
    <numFmt numFmtId="165" formatCode="0.000"/>
    <numFmt numFmtId="166" formatCode="0.000000"/>
    <numFmt numFmtId="167" formatCode="0.0"/>
    <numFmt numFmtId="168" formatCode="0.00000"/>
  </numFmts>
  <fonts count="2" x14ac:knownFonts="1">
    <font>
      <sz val="11"/>
      <color theme="1"/>
      <name val="Calibri"/>
      <family val="2"/>
      <scheme val="minor"/>
    </font>
    <font>
      <b/>
      <sz val="14"/>
      <color theme="9" tint="-0.249977111117893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1" tint="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164" fontId="0" fillId="0" borderId="0" xfId="0" applyNumberFormat="1"/>
    <xf numFmtId="165" fontId="0" fillId="0" borderId="0" xfId="0" applyNumberFormat="1"/>
    <xf numFmtId="2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/>
    </xf>
    <xf numFmtId="168" fontId="0" fillId="0" borderId="0" xfId="0" applyNumberFormat="1"/>
    <xf numFmtId="0" fontId="0" fillId="2" borderId="1" xfId="0" applyFill="1" applyBorder="1"/>
    <xf numFmtId="2" fontId="0" fillId="3" borderId="0" xfId="0" applyNumberFormat="1" applyFill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/>
    </xf>
    <xf numFmtId="0" fontId="1" fillId="0" borderId="0" xfId="0" applyFont="1"/>
    <xf numFmtId="2" fontId="0" fillId="0" borderId="1" xfId="0" applyNumberFormat="1" applyBorder="1"/>
    <xf numFmtId="167" fontId="0" fillId="0" borderId="1" xfId="0" applyNumberFormat="1" applyBorder="1"/>
    <xf numFmtId="0" fontId="0" fillId="0" borderId="1" xfId="0" applyBorder="1"/>
    <xf numFmtId="165" fontId="0" fillId="0" borderId="1" xfId="0" applyNumberFormat="1" applyBorder="1"/>
    <xf numFmtId="0" fontId="0" fillId="4" borderId="0" xfId="0" applyFill="1"/>
    <xf numFmtId="0" fontId="0" fillId="0" borderId="0" xfId="0" applyAlignment="1">
      <alignment horizontal="left"/>
    </xf>
    <xf numFmtId="0" fontId="0" fillId="5" borderId="1" xfId="0" applyFill="1" applyBorder="1" applyAlignment="1">
      <alignment horizontal="center"/>
    </xf>
    <xf numFmtId="0" fontId="0" fillId="6" borderId="0" xfId="0" applyFill="1"/>
    <xf numFmtId="0" fontId="0" fillId="4" borderId="1" xfId="0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0" fillId="5" borderId="0" xfId="0" applyFill="1"/>
    <xf numFmtId="0" fontId="0" fillId="7" borderId="0" xfId="0" applyFill="1"/>
    <xf numFmtId="0" fontId="0" fillId="7" borderId="1" xfId="0" applyFill="1" applyBorder="1" applyAlignment="1">
      <alignment horizontal="center"/>
    </xf>
    <xf numFmtId="0" fontId="0" fillId="8" borderId="1" xfId="0" applyFill="1" applyBorder="1" applyAlignment="1">
      <alignment horizontal="center"/>
    </xf>
    <xf numFmtId="167" fontId="0" fillId="8" borderId="1" xfId="0" applyNumberFormat="1" applyFill="1" applyBorder="1" applyAlignment="1">
      <alignment horizontal="center"/>
    </xf>
    <xf numFmtId="0" fontId="0" fillId="8" borderId="0" xfId="0" applyFill="1"/>
    <xf numFmtId="0" fontId="0" fillId="9" borderId="1" xfId="0" applyFill="1" applyBorder="1"/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0" fillId="9" borderId="0" xfId="0" applyFill="1"/>
    <xf numFmtId="0" fontId="0" fillId="10" borderId="1" xfId="0" applyFill="1" applyBorder="1"/>
    <xf numFmtId="0" fontId="0" fillId="1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Buck Efficiency vs Load Current Calculator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GaN FET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Efficiency!$B$23:$B$73</c:f>
              <c:numCache>
                <c:formatCode>General</c:formatCode>
                <c:ptCount val="51"/>
                <c:pt idx="0">
                  <c:v>0</c:v>
                </c:pt>
                <c:pt idx="1">
                  <c:v>0.06</c:v>
                </c:pt>
                <c:pt idx="2">
                  <c:v>0.12</c:v>
                </c:pt>
                <c:pt idx="3">
                  <c:v>0.18</c:v>
                </c:pt>
                <c:pt idx="4">
                  <c:v>0.24</c:v>
                </c:pt>
                <c:pt idx="5">
                  <c:v>0.3</c:v>
                </c:pt>
                <c:pt idx="6">
                  <c:v>0.36</c:v>
                </c:pt>
                <c:pt idx="7">
                  <c:v>0.42</c:v>
                </c:pt>
                <c:pt idx="8">
                  <c:v>0.48</c:v>
                </c:pt>
                <c:pt idx="9">
                  <c:v>0.54</c:v>
                </c:pt>
                <c:pt idx="10">
                  <c:v>0.6</c:v>
                </c:pt>
                <c:pt idx="11">
                  <c:v>0.66</c:v>
                </c:pt>
                <c:pt idx="12">
                  <c:v>0.72</c:v>
                </c:pt>
                <c:pt idx="13">
                  <c:v>0.78</c:v>
                </c:pt>
                <c:pt idx="14">
                  <c:v>0.84</c:v>
                </c:pt>
                <c:pt idx="15">
                  <c:v>0.9</c:v>
                </c:pt>
                <c:pt idx="16">
                  <c:v>0.96</c:v>
                </c:pt>
                <c:pt idx="17">
                  <c:v>1.02</c:v>
                </c:pt>
                <c:pt idx="18">
                  <c:v>1.08</c:v>
                </c:pt>
                <c:pt idx="19">
                  <c:v>1.1399999999999999</c:v>
                </c:pt>
                <c:pt idx="20">
                  <c:v>1.2</c:v>
                </c:pt>
                <c:pt idx="21">
                  <c:v>1.26</c:v>
                </c:pt>
                <c:pt idx="22">
                  <c:v>1.32</c:v>
                </c:pt>
                <c:pt idx="23">
                  <c:v>1.38</c:v>
                </c:pt>
                <c:pt idx="24">
                  <c:v>1.44</c:v>
                </c:pt>
                <c:pt idx="25">
                  <c:v>1.5</c:v>
                </c:pt>
                <c:pt idx="26">
                  <c:v>1.56</c:v>
                </c:pt>
                <c:pt idx="27">
                  <c:v>1.62</c:v>
                </c:pt>
                <c:pt idx="28">
                  <c:v>1.68</c:v>
                </c:pt>
                <c:pt idx="29">
                  <c:v>1.74</c:v>
                </c:pt>
                <c:pt idx="30">
                  <c:v>1.8</c:v>
                </c:pt>
                <c:pt idx="31">
                  <c:v>1.86</c:v>
                </c:pt>
                <c:pt idx="32">
                  <c:v>1.92</c:v>
                </c:pt>
                <c:pt idx="33">
                  <c:v>1.98</c:v>
                </c:pt>
                <c:pt idx="34">
                  <c:v>2.04</c:v>
                </c:pt>
                <c:pt idx="35">
                  <c:v>2.1</c:v>
                </c:pt>
                <c:pt idx="36">
                  <c:v>2.16</c:v>
                </c:pt>
                <c:pt idx="37">
                  <c:v>2.2200000000000002</c:v>
                </c:pt>
                <c:pt idx="38">
                  <c:v>2.2799999999999998</c:v>
                </c:pt>
                <c:pt idx="39">
                  <c:v>2.34</c:v>
                </c:pt>
                <c:pt idx="40">
                  <c:v>2.4</c:v>
                </c:pt>
                <c:pt idx="41">
                  <c:v>2.46</c:v>
                </c:pt>
                <c:pt idx="42">
                  <c:v>2.52</c:v>
                </c:pt>
                <c:pt idx="43">
                  <c:v>2.58</c:v>
                </c:pt>
                <c:pt idx="44">
                  <c:v>2.64</c:v>
                </c:pt>
                <c:pt idx="45">
                  <c:v>2.7</c:v>
                </c:pt>
                <c:pt idx="46">
                  <c:v>2.76</c:v>
                </c:pt>
                <c:pt idx="47">
                  <c:v>2.82</c:v>
                </c:pt>
                <c:pt idx="48">
                  <c:v>2.88</c:v>
                </c:pt>
                <c:pt idx="49">
                  <c:v>2.94</c:v>
                </c:pt>
                <c:pt idx="50">
                  <c:v>3</c:v>
                </c:pt>
              </c:numCache>
            </c:numRef>
          </c:xVal>
          <c:yVal>
            <c:numRef>
              <c:f>Efficiency!$P$23:$P$73</c:f>
              <c:numCache>
                <c:formatCode>0.00</c:formatCode>
                <c:ptCount val="51"/>
                <c:pt idx="0">
                  <c:v>0</c:v>
                </c:pt>
                <c:pt idx="1">
                  <c:v>83.995174548742895</c:v>
                </c:pt>
                <c:pt idx="2">
                  <c:v>90.542364234308153</c:v>
                </c:pt>
                <c:pt idx="3">
                  <c:v>92.628455545351613</c:v>
                </c:pt>
                <c:pt idx="4">
                  <c:v>93.46652834029932</c:v>
                </c:pt>
                <c:pt idx="5">
                  <c:v>93.786430548711991</c:v>
                </c:pt>
                <c:pt idx="6">
                  <c:v>93.843989771239421</c:v>
                </c:pt>
                <c:pt idx="7">
                  <c:v>93.751744316686185</c:v>
                </c:pt>
                <c:pt idx="8">
                  <c:v>93.566836385187926</c:v>
                </c:pt>
                <c:pt idx="9">
                  <c:v>93.321320820244708</c:v>
                </c:pt>
                <c:pt idx="10">
                  <c:v>93.034549569251894</c:v>
                </c:pt>
                <c:pt idx="11">
                  <c:v>92.718883156128257</c:v>
                </c:pt>
                <c:pt idx="12">
                  <c:v>92.38257642773722</c:v>
                </c:pt>
                <c:pt idx="13">
                  <c:v>92.031344710852792</c:v>
                </c:pt>
                <c:pt idx="14">
                  <c:v>91.669264276152134</c:v>
                </c:pt>
                <c:pt idx="15">
                  <c:v>91.299315282580366</c:v>
                </c:pt>
                <c:pt idx="16">
                  <c:v>90.923722486424566</c:v>
                </c:pt>
                <c:pt idx="17">
                  <c:v>90.54417643919632</c:v>
                </c:pt>
                <c:pt idx="18">
                  <c:v>90.161981368941795</c:v>
                </c:pt>
                <c:pt idx="19">
                  <c:v>89.778156604635086</c:v>
                </c:pt>
                <c:pt idx="20">
                  <c:v>89.393507718560031</c:v>
                </c:pt>
                <c:pt idx="21">
                  <c:v>89.008677431332558</c:v>
                </c:pt>
                <c:pt idx="22">
                  <c:v>88.624182689177871</c:v>
                </c:pt>
                <c:pt idx="23">
                  <c:v>88.240442103733983</c:v>
                </c:pt>
                <c:pt idx="24">
                  <c:v>87.857796553866223</c:v>
                </c:pt>
                <c:pt idx="25">
                  <c:v>87.476524856770141</c:v>
                </c:pt>
                <c:pt idx="26">
                  <c:v>87.096855831044962</c:v>
                </c:pt>
                <c:pt idx="27">
                  <c:v>86.718977683949277</c:v>
                </c:pt>
                <c:pt idx="28">
                  <c:v>86.34304538963687</c:v>
                </c:pt>
                <c:pt idx="29">
                  <c:v>85.969186541840614</c:v>
                </c:pt>
                <c:pt idx="30">
                  <c:v>85.597506035960663</c:v>
                </c:pt>
                <c:pt idx="31">
                  <c:v>85.22808984419143</c:v>
                </c:pt>
                <c:pt idx="32">
                  <c:v>84.861008081607409</c:v>
                </c:pt>
                <c:pt idx="33">
                  <c:v>84.496317513281895</c:v>
                </c:pt>
                <c:pt idx="34">
                  <c:v>84.134063617296107</c:v>
                </c:pt>
                <c:pt idx="35">
                  <c:v>83.774282292311355</c:v>
                </c:pt>
                <c:pt idx="36">
                  <c:v>83.417001278719752</c:v>
                </c:pt>
                <c:pt idx="37">
                  <c:v>83.062241347502066</c:v>
                </c:pt>
                <c:pt idx="38">
                  <c:v>82.710017299551282</c:v>
                </c:pt>
                <c:pt idx="39">
                  <c:v>82.360338809467692</c:v>
                </c:pt>
                <c:pt idx="40">
                  <c:v>82.013211141044138</c:v>
                </c:pt>
                <c:pt idx="41">
                  <c:v>81.66863575635837</c:v>
                </c:pt>
                <c:pt idx="42">
                  <c:v>81.326610836222557</c:v>
                </c:pt>
                <c:pt idx="43">
                  <c:v>80.987131726442556</c:v>
                </c:pt>
                <c:pt idx="44">
                  <c:v>80.650191321715553</c:v>
                </c:pt>
                <c:pt idx="45">
                  <c:v>80.315780396894382</c:v>
                </c:pt>
                <c:pt idx="46">
                  <c:v>79.983887893657197</c:v>
                </c:pt>
                <c:pt idx="47">
                  <c:v>79.65450116925328</c:v>
                </c:pt>
                <c:pt idx="48">
                  <c:v>79.327606212885598</c:v>
                </c:pt>
                <c:pt idx="49">
                  <c:v>79.003187834382544</c:v>
                </c:pt>
                <c:pt idx="50">
                  <c:v>78.68122982906732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FB60-4896-8283-4AC424BF83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0284272"/>
        <c:axId val="940282960"/>
      </c:scatterChart>
      <c:valAx>
        <c:axId val="940284272"/>
        <c:scaling>
          <c:orientation val="minMax"/>
          <c:max val="3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Load Current (A)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40282960"/>
        <c:crosses val="autoZero"/>
        <c:crossBetween val="midCat"/>
      </c:valAx>
      <c:valAx>
        <c:axId val="940282960"/>
        <c:scaling>
          <c:orientation val="minMax"/>
          <c:max val="100"/>
          <c:min val="6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Efficiency (%)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4028427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6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Bias, Conduction and Switch Loss as a Percentage (%) of Total Loss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v>Conduction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extLst>
                <c:ext xmlns:c15="http://schemas.microsoft.com/office/drawing/2012/chart" uri="{02D57815-91ED-43cb-92C2-25804820EDAC}">
                  <c15:fullRef>
                    <c15:sqref>Efficiency!$B$23:$B$73</c15:sqref>
                  </c15:fullRef>
                </c:ext>
              </c:extLst>
              <c:f>(Efficiency!$B$23,Efficiency!$B$25,Efficiency!$B$27,Efficiency!$B$29,Efficiency!$B$31,Efficiency!$B$33,Efficiency!$B$35,Efficiency!$B$37,Efficiency!$B$39,Efficiency!$B$41,Efficiency!$B$43,Efficiency!$B$45,Efficiency!$B$47,Efficiency!$B$49,Efficiency!$B$51,Efficiency!$B$53,Efficiency!$B$55,Efficiency!$B$57,Efficiency!$B$59,Efficiency!$B$61,Efficiency!$B$63,Efficiency!$B$65,Efficiency!$B$67,Efficiency!$B$69,Efficiency!$B$71,Efficiency!$B$73)</c:f>
              <c:numCache>
                <c:formatCode>General</c:formatCode>
                <c:ptCount val="26"/>
                <c:pt idx="0">
                  <c:v>0</c:v>
                </c:pt>
                <c:pt idx="1">
                  <c:v>0.12</c:v>
                </c:pt>
                <c:pt idx="2">
                  <c:v>0.24</c:v>
                </c:pt>
                <c:pt idx="3">
                  <c:v>0.36</c:v>
                </c:pt>
                <c:pt idx="4">
                  <c:v>0.48</c:v>
                </c:pt>
                <c:pt idx="5">
                  <c:v>0.6</c:v>
                </c:pt>
                <c:pt idx="6">
                  <c:v>0.72</c:v>
                </c:pt>
                <c:pt idx="7">
                  <c:v>0.84</c:v>
                </c:pt>
                <c:pt idx="8">
                  <c:v>0.96</c:v>
                </c:pt>
                <c:pt idx="9">
                  <c:v>1.08</c:v>
                </c:pt>
                <c:pt idx="10">
                  <c:v>1.2</c:v>
                </c:pt>
                <c:pt idx="11">
                  <c:v>1.32</c:v>
                </c:pt>
                <c:pt idx="12">
                  <c:v>1.44</c:v>
                </c:pt>
                <c:pt idx="13">
                  <c:v>1.56</c:v>
                </c:pt>
                <c:pt idx="14">
                  <c:v>1.68</c:v>
                </c:pt>
                <c:pt idx="15">
                  <c:v>1.8</c:v>
                </c:pt>
                <c:pt idx="16">
                  <c:v>1.92</c:v>
                </c:pt>
                <c:pt idx="17">
                  <c:v>2.04</c:v>
                </c:pt>
                <c:pt idx="18">
                  <c:v>2.16</c:v>
                </c:pt>
                <c:pt idx="19">
                  <c:v>2.2799999999999998</c:v>
                </c:pt>
                <c:pt idx="20">
                  <c:v>2.4</c:v>
                </c:pt>
                <c:pt idx="21">
                  <c:v>2.52</c:v>
                </c:pt>
                <c:pt idx="22">
                  <c:v>2.64</c:v>
                </c:pt>
                <c:pt idx="23">
                  <c:v>2.76</c:v>
                </c:pt>
                <c:pt idx="24">
                  <c:v>2.88</c:v>
                </c:pt>
                <c:pt idx="25">
                  <c:v>3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Efficiency!$V$23:$V$73</c15:sqref>
                  </c15:fullRef>
                </c:ext>
              </c:extLst>
              <c:f>(Efficiency!$V$23,Efficiency!$V$25,Efficiency!$V$27,Efficiency!$V$29,Efficiency!$V$31,Efficiency!$V$33,Efficiency!$V$35,Efficiency!$V$37,Efficiency!$V$39,Efficiency!$V$41,Efficiency!$V$43,Efficiency!$V$45,Efficiency!$V$47,Efficiency!$V$49,Efficiency!$V$51,Efficiency!$V$53,Efficiency!$V$55,Efficiency!$V$57,Efficiency!$V$59,Efficiency!$V$61,Efficiency!$V$63,Efficiency!$V$65,Efficiency!$V$67,Efficiency!$V$69,Efficiency!$V$71,Efficiency!$V$73)</c:f>
              <c:numCache>
                <c:formatCode>0.0</c:formatCode>
                <c:ptCount val="26"/>
                <c:pt idx="0">
                  <c:v>39.213178940087083</c:v>
                </c:pt>
                <c:pt idx="1">
                  <c:v>44.645198694816209</c:v>
                </c:pt>
                <c:pt idx="2">
                  <c:v>55.888681124948214</c:v>
                </c:pt>
                <c:pt idx="3">
                  <c:v>66.380897035409532</c:v>
                </c:pt>
                <c:pt idx="4">
                  <c:v>74.225537823036447</c:v>
                </c:pt>
                <c:pt idx="5">
                  <c:v>79.774620118295559</c:v>
                </c:pt>
                <c:pt idx="6">
                  <c:v>83.708955246681924</c:v>
                </c:pt>
                <c:pt idx="7">
                  <c:v>86.557681181562955</c:v>
                </c:pt>
                <c:pt idx="8">
                  <c:v>88.673752792854117</c:v>
                </c:pt>
                <c:pt idx="9">
                  <c:v>90.285462659902365</c:v>
                </c:pt>
                <c:pt idx="10">
                  <c:v>91.541437876662158</c:v>
                </c:pt>
                <c:pt idx="11">
                  <c:v>92.540321790840679</c:v>
                </c:pt>
                <c:pt idx="12">
                  <c:v>93.349111811380709</c:v>
                </c:pt>
                <c:pt idx="13">
                  <c:v>94.014387267981959</c:v>
                </c:pt>
                <c:pt idx="14">
                  <c:v>94.5692603173636</c:v>
                </c:pt>
                <c:pt idx="15">
                  <c:v>95.037759877095795</c:v>
                </c:pt>
                <c:pt idx="16">
                  <c:v>95.437655527726605</c:v>
                </c:pt>
                <c:pt idx="17">
                  <c:v>95.782315824847103</c:v>
                </c:pt>
                <c:pt idx="18">
                  <c:v>96.08195671540436</c:v>
                </c:pt>
                <c:pt idx="19">
                  <c:v>96.344496754346295</c:v>
                </c:pt>
                <c:pt idx="20">
                  <c:v>96.576153739182786</c:v>
                </c:pt>
                <c:pt idx="21">
                  <c:v>96.781868050747306</c:v>
                </c:pt>
                <c:pt idx="22">
                  <c:v>96.965607778037494</c:v>
                </c:pt>
                <c:pt idx="23">
                  <c:v>97.130591850485132</c:v>
                </c:pt>
                <c:pt idx="24">
                  <c:v>97.27945541520937</c:v>
                </c:pt>
                <c:pt idx="25">
                  <c:v>97.414373941941207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6E9-493C-A11B-0DFC24FB67F3}"/>
            </c:ext>
          </c:extLst>
        </c:ser>
        <c:ser>
          <c:idx val="1"/>
          <c:order val="1"/>
          <c:tx>
            <c:v>Switching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extLst>
                <c:ext xmlns:c15="http://schemas.microsoft.com/office/drawing/2012/chart" uri="{02D57815-91ED-43cb-92C2-25804820EDAC}">
                  <c15:fullRef>
                    <c15:sqref>Efficiency!$B$23:$B$73</c15:sqref>
                  </c15:fullRef>
                </c:ext>
              </c:extLst>
              <c:f>(Efficiency!$B$23,Efficiency!$B$25,Efficiency!$B$27,Efficiency!$B$29,Efficiency!$B$31,Efficiency!$B$33,Efficiency!$B$35,Efficiency!$B$37,Efficiency!$B$39,Efficiency!$B$41,Efficiency!$B$43,Efficiency!$B$45,Efficiency!$B$47,Efficiency!$B$49,Efficiency!$B$51,Efficiency!$B$53,Efficiency!$B$55,Efficiency!$B$57,Efficiency!$B$59,Efficiency!$B$61,Efficiency!$B$63,Efficiency!$B$65,Efficiency!$B$67,Efficiency!$B$69,Efficiency!$B$71,Efficiency!$B$73)</c:f>
              <c:numCache>
                <c:formatCode>General</c:formatCode>
                <c:ptCount val="26"/>
                <c:pt idx="0">
                  <c:v>0</c:v>
                </c:pt>
                <c:pt idx="1">
                  <c:v>0.12</c:v>
                </c:pt>
                <c:pt idx="2">
                  <c:v>0.24</c:v>
                </c:pt>
                <c:pt idx="3">
                  <c:v>0.36</c:v>
                </c:pt>
                <c:pt idx="4">
                  <c:v>0.48</c:v>
                </c:pt>
                <c:pt idx="5">
                  <c:v>0.6</c:v>
                </c:pt>
                <c:pt idx="6">
                  <c:v>0.72</c:v>
                </c:pt>
                <c:pt idx="7">
                  <c:v>0.84</c:v>
                </c:pt>
                <c:pt idx="8">
                  <c:v>0.96</c:v>
                </c:pt>
                <c:pt idx="9">
                  <c:v>1.08</c:v>
                </c:pt>
                <c:pt idx="10">
                  <c:v>1.2</c:v>
                </c:pt>
                <c:pt idx="11">
                  <c:v>1.32</c:v>
                </c:pt>
                <c:pt idx="12">
                  <c:v>1.44</c:v>
                </c:pt>
                <c:pt idx="13">
                  <c:v>1.56</c:v>
                </c:pt>
                <c:pt idx="14">
                  <c:v>1.68</c:v>
                </c:pt>
                <c:pt idx="15">
                  <c:v>1.8</c:v>
                </c:pt>
                <c:pt idx="16">
                  <c:v>1.92</c:v>
                </c:pt>
                <c:pt idx="17">
                  <c:v>2.04</c:v>
                </c:pt>
                <c:pt idx="18">
                  <c:v>2.16</c:v>
                </c:pt>
                <c:pt idx="19">
                  <c:v>2.2799999999999998</c:v>
                </c:pt>
                <c:pt idx="20">
                  <c:v>2.4</c:v>
                </c:pt>
                <c:pt idx="21">
                  <c:v>2.52</c:v>
                </c:pt>
                <c:pt idx="22">
                  <c:v>2.64</c:v>
                </c:pt>
                <c:pt idx="23">
                  <c:v>2.76</c:v>
                </c:pt>
                <c:pt idx="24">
                  <c:v>2.88</c:v>
                </c:pt>
                <c:pt idx="25">
                  <c:v>3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Efficiency!$W$23:$W$73</c15:sqref>
                  </c15:fullRef>
                </c:ext>
              </c:extLst>
              <c:f>(Efficiency!$W$23,Efficiency!$W$25,Efficiency!$W$27,Efficiency!$W$29,Efficiency!$W$31,Efficiency!$W$33,Efficiency!$W$35,Efficiency!$W$37,Efficiency!$W$39,Efficiency!$W$41,Efficiency!$W$43,Efficiency!$W$45,Efficiency!$W$47,Efficiency!$W$49,Efficiency!$W$51,Efficiency!$W$53,Efficiency!$W$55,Efficiency!$W$57,Efficiency!$W$59,Efficiency!$W$61,Efficiency!$W$63,Efficiency!$W$65,Efficiency!$W$67,Efficiency!$W$69,Efficiency!$W$71,Efficiency!$W$73)</c:f>
              <c:numCache>
                <c:formatCode>0.0</c:formatCode>
                <c:ptCount val="26"/>
                <c:pt idx="0">
                  <c:v>6.5265020400858615</c:v>
                </c:pt>
                <c:pt idx="1">
                  <c:v>7.4874661289043214</c:v>
                </c:pt>
                <c:pt idx="2">
                  <c:v>8.3468229039384028</c:v>
                </c:pt>
                <c:pt idx="3">
                  <c:v>8.2119571336741899</c:v>
                </c:pt>
                <c:pt idx="4">
                  <c:v>7.5938977634931817</c:v>
                </c:pt>
                <c:pt idx="5">
                  <c:v>6.8688065352683809</c:v>
                </c:pt>
                <c:pt idx="6">
                  <c:v>6.1845461943074254</c:v>
                </c:pt>
                <c:pt idx="7">
                  <c:v>5.5825033012916334</c:v>
                </c:pt>
                <c:pt idx="8">
                  <c:v>5.0651642390437557</c:v>
                </c:pt>
                <c:pt idx="9">
                  <c:v>4.623066025814885</c:v>
                </c:pt>
                <c:pt idx="10">
                  <c:v>4.244468276544235</c:v>
                </c:pt>
                <c:pt idx="11">
                  <c:v>3.9185067659568662</c:v>
                </c:pt>
                <c:pt idx="12">
                  <c:v>3.6359975723338356</c:v>
                </c:pt>
                <c:pt idx="13">
                  <c:v>3.3894400266981881</c:v>
                </c:pt>
                <c:pt idx="14">
                  <c:v>3.1727837323785582</c:v>
                </c:pt>
                <c:pt idx="15">
                  <c:v>2.9811594792859561</c:v>
                </c:pt>
                <c:pt idx="16">
                  <c:v>2.8106383369868166</c:v>
                </c:pt>
                <c:pt idx="17">
                  <c:v>2.6580338506002188</c:v>
                </c:pt>
                <c:pt idx="18">
                  <c:v>2.5207453873007637</c:v>
                </c:pt>
                <c:pt idx="19">
                  <c:v>2.3966359348360333</c:v>
                </c:pt>
                <c:pt idx="20">
                  <c:v>2.2839372450368836</c:v>
                </c:pt>
                <c:pt idx="21">
                  <c:v>2.1811761722001761</c:v>
                </c:pt>
                <c:pt idx="22">
                  <c:v>2.0871172777236713</c:v>
                </c:pt>
                <c:pt idx="23">
                  <c:v>2.0007178852101459</c:v>
                </c:pt>
                <c:pt idx="24">
                  <c:v>1.9210926781620858</c:v>
                </c:pt>
                <c:pt idx="25">
                  <c:v>1.8474856381546025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6E9-493C-A11B-0DFC24FB67F3}"/>
            </c:ext>
          </c:extLst>
        </c:ser>
        <c:ser>
          <c:idx val="2"/>
          <c:order val="2"/>
          <c:tx>
            <c:v>Bias</c:v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Lit>
              <c:ptCount val="26"/>
              <c:pt idx="0">
                <c:v>0</c:v>
              </c:pt>
              <c:pt idx="1">
                <c:v>0.12</c:v>
              </c:pt>
              <c:pt idx="2">
                <c:v>0.24</c:v>
              </c:pt>
              <c:pt idx="3">
                <c:v>0.36</c:v>
              </c:pt>
              <c:pt idx="4">
                <c:v>0.48</c:v>
              </c:pt>
              <c:pt idx="5">
                <c:v>0.6</c:v>
              </c:pt>
              <c:pt idx="6">
                <c:v>0.72</c:v>
              </c:pt>
              <c:pt idx="7">
                <c:v>0.84</c:v>
              </c:pt>
              <c:pt idx="8">
                <c:v>0.96</c:v>
              </c:pt>
              <c:pt idx="9">
                <c:v>1.08</c:v>
              </c:pt>
              <c:pt idx="10">
                <c:v>1.2</c:v>
              </c:pt>
              <c:pt idx="11">
                <c:v>1.32</c:v>
              </c:pt>
              <c:pt idx="12">
                <c:v>1.44</c:v>
              </c:pt>
              <c:pt idx="13">
                <c:v>1.56</c:v>
              </c:pt>
              <c:pt idx="14">
                <c:v>1.68</c:v>
              </c:pt>
              <c:pt idx="15">
                <c:v>1.8</c:v>
              </c:pt>
              <c:pt idx="16">
                <c:v>1.92</c:v>
              </c:pt>
              <c:pt idx="17">
                <c:v>2.04</c:v>
              </c:pt>
              <c:pt idx="18">
                <c:v>2.16</c:v>
              </c:pt>
              <c:pt idx="19">
                <c:v>2.28</c:v>
              </c:pt>
              <c:pt idx="20">
                <c:v>2.4</c:v>
              </c:pt>
              <c:pt idx="21">
                <c:v>2.52</c:v>
              </c:pt>
              <c:pt idx="22">
                <c:v>2.64</c:v>
              </c:pt>
              <c:pt idx="23">
                <c:v>2.76</c:v>
              </c:pt>
              <c:pt idx="24">
                <c:v>2.88</c:v>
              </c:pt>
              <c:pt idx="25">
                <c:v>3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Efficiency!$U$23:$U$73</c15:sqref>
                  </c15:fullRef>
                </c:ext>
              </c:extLst>
              <c:f>(Efficiency!$U$23,Efficiency!$U$25,Efficiency!$U$27,Efficiency!$U$29,Efficiency!$U$31,Efficiency!$U$33,Efficiency!$U$35,Efficiency!$U$37,Efficiency!$U$39,Efficiency!$U$41,Efficiency!$U$43,Efficiency!$U$45,Efficiency!$U$47,Efficiency!$U$49,Efficiency!$U$51,Efficiency!$U$53,Efficiency!$U$55,Efficiency!$U$57,Efficiency!$U$59,Efficiency!$U$61,Efficiency!$U$63,Efficiency!$U$65,Efficiency!$U$67,Efficiency!$U$69,Efficiency!$U$71,Efficiency!$U$73)</c:f>
              <c:numCache>
                <c:formatCode>0.00</c:formatCode>
                <c:ptCount val="26"/>
                <c:pt idx="0">
                  <c:v>54.260319019827065</c:v>
                </c:pt>
                <c:pt idx="1">
                  <c:v>47.867335176279468</c:v>
                </c:pt>
                <c:pt idx="2">
                  <c:v>35.764495971113405</c:v>
                </c:pt>
                <c:pt idx="3">
                  <c:v>25.407145830916278</c:v>
                </c:pt>
                <c:pt idx="4">
                  <c:v>18.180564413470375</c:v>
                </c:pt>
                <c:pt idx="5">
                  <c:v>13.356573346436068</c:v>
                </c:pt>
                <c:pt idx="6">
                  <c:v>10.106498559010646</c:v>
                </c:pt>
                <c:pt idx="7">
                  <c:v>7.85981551714542</c:v>
                </c:pt>
                <c:pt idx="8">
                  <c:v>6.2610829681021123</c:v>
                </c:pt>
                <c:pt idx="9">
                  <c:v>5.0914713142827503</c:v>
                </c:pt>
                <c:pt idx="10">
                  <c:v>4.2140938467936015</c:v>
                </c:pt>
                <c:pt idx="11">
                  <c:v>3.5411714432024772</c:v>
                </c:pt>
                <c:pt idx="12">
                  <c:v>3.0148906162854492</c:v>
                </c:pt>
                <c:pt idx="13">
                  <c:v>2.5961727053198511</c:v>
                </c:pt>
                <c:pt idx="14">
                  <c:v>2.2579559502578133</c:v>
                </c:pt>
                <c:pt idx="15">
                  <c:v>1.9810806436182393</c:v>
                </c:pt>
                <c:pt idx="16">
                  <c:v>1.7517061352865855</c:v>
                </c:pt>
                <c:pt idx="17">
                  <c:v>1.5596503245526927</c:v>
                </c:pt>
                <c:pt idx="18">
                  <c:v>1.397297897294894</c:v>
                </c:pt>
                <c:pt idx="19">
                  <c:v>1.2588673108176573</c:v>
                </c:pt>
                <c:pt idx="20">
                  <c:v>1.1399090157803331</c:v>
                </c:pt>
                <c:pt idx="21">
                  <c:v>1.0369557770525322</c:v>
                </c:pt>
                <c:pt idx="22">
                  <c:v>0.9472749442388092</c:v>
                </c:pt>
                <c:pt idx="23">
                  <c:v>0.86869026430474983</c:v>
                </c:pt>
                <c:pt idx="24">
                  <c:v>0.79945190662853527</c:v>
                </c:pt>
                <c:pt idx="25">
                  <c:v>0.73814041990420354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6E9-493C-A11B-0DFC24FB67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54221808"/>
        <c:axId val="754224104"/>
      </c:barChart>
      <c:catAx>
        <c:axId val="75422180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Load Current (A)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54224104"/>
        <c:crosses val="autoZero"/>
        <c:auto val="1"/>
        <c:lblAlgn val="ctr"/>
        <c:lblOffset val="100"/>
        <c:tickMarkSkip val="1"/>
        <c:noMultiLvlLbl val="0"/>
      </c:catAx>
      <c:valAx>
        <c:axId val="754224104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Power Dissipation Loss (%)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542218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XFL4020</a:t>
            </a:r>
            <a:r>
              <a:rPr lang="en-US" baseline="0"/>
              <a:t> - 2.2uH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poly"/>
            <c:order val="2"/>
            <c:dispRSqr val="0"/>
            <c:dispEq val="1"/>
            <c:trendlineLbl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Components!$M$5:$M$8</c:f>
              <c:numCache>
                <c:formatCode>General</c:formatCode>
                <c:ptCount val="4"/>
                <c:pt idx="0">
                  <c:v>300</c:v>
                </c:pt>
                <c:pt idx="1">
                  <c:v>500</c:v>
                </c:pt>
                <c:pt idx="2">
                  <c:v>800</c:v>
                </c:pt>
                <c:pt idx="3">
                  <c:v>1000</c:v>
                </c:pt>
              </c:numCache>
            </c:numRef>
          </c:xVal>
          <c:yVal>
            <c:numRef>
              <c:f>Components!$N$5:$N$8</c:f>
              <c:numCache>
                <c:formatCode>General</c:formatCode>
                <c:ptCount val="4"/>
                <c:pt idx="0">
                  <c:v>7</c:v>
                </c:pt>
                <c:pt idx="1">
                  <c:v>15</c:v>
                </c:pt>
                <c:pt idx="2">
                  <c:v>26</c:v>
                </c:pt>
                <c:pt idx="3">
                  <c:v>33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18BA-4376-96EF-253173CAD3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9381416"/>
        <c:axId val="539381744"/>
      </c:scatterChart>
      <c:valAx>
        <c:axId val="539381416"/>
        <c:scaling>
          <c:orientation val="minMax"/>
          <c:max val="1000"/>
          <c:min val="30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39381744"/>
        <c:crosses val="autoZero"/>
        <c:crossBetween val="midCat"/>
      </c:valAx>
      <c:valAx>
        <c:axId val="5393817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3938141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XAL4030 - 4.7uH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poly"/>
            <c:order val="2"/>
            <c:dispRSqr val="0"/>
            <c:dispEq val="1"/>
            <c:trendlineLbl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Components!$M$5:$M$8</c:f>
              <c:numCache>
                <c:formatCode>General</c:formatCode>
                <c:ptCount val="4"/>
                <c:pt idx="0">
                  <c:v>300</c:v>
                </c:pt>
                <c:pt idx="1">
                  <c:v>500</c:v>
                </c:pt>
                <c:pt idx="2">
                  <c:v>800</c:v>
                </c:pt>
                <c:pt idx="3">
                  <c:v>1000</c:v>
                </c:pt>
              </c:numCache>
            </c:numRef>
          </c:xVal>
          <c:yVal>
            <c:numRef>
              <c:f>Components!$O$5:$O$8</c:f>
              <c:numCache>
                <c:formatCode>General</c:formatCode>
                <c:ptCount val="4"/>
                <c:pt idx="0">
                  <c:v>8</c:v>
                </c:pt>
                <c:pt idx="1">
                  <c:v>13</c:v>
                </c:pt>
                <c:pt idx="2">
                  <c:v>19</c:v>
                </c:pt>
                <c:pt idx="3">
                  <c:v>23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AD34-4DDC-9ECB-2CFB82DFBB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9381416"/>
        <c:axId val="539381744"/>
      </c:scatterChart>
      <c:valAx>
        <c:axId val="539381416"/>
        <c:scaling>
          <c:orientation val="minMax"/>
          <c:max val="1000"/>
          <c:min val="30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39381744"/>
        <c:crosses val="autoZero"/>
        <c:crossBetween val="midCat"/>
      </c:valAx>
      <c:valAx>
        <c:axId val="5393817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3938141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XAL6060 - 15uH</a:t>
            </a:r>
            <a:r>
              <a:rPr lang="en-US" sz="1400" b="0" i="0" u="none" strike="noStrike" baseline="0">
                <a:effectLst/>
              </a:rPr>
              <a:t>XAL6060 - 15uH</a:t>
            </a:r>
            <a:r>
              <a:rPr lang="en-US" sz="1400" b="0" i="0" u="none" strike="noStrike" baseline="0"/>
              <a:t> 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poly"/>
            <c:order val="2"/>
            <c:dispRSqr val="0"/>
            <c:dispEq val="1"/>
            <c:trendlineLbl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Components!$M$5:$M$8</c:f>
              <c:numCache>
                <c:formatCode>General</c:formatCode>
                <c:ptCount val="4"/>
                <c:pt idx="0">
                  <c:v>300</c:v>
                </c:pt>
                <c:pt idx="1">
                  <c:v>500</c:v>
                </c:pt>
                <c:pt idx="2">
                  <c:v>800</c:v>
                </c:pt>
                <c:pt idx="3">
                  <c:v>1000</c:v>
                </c:pt>
              </c:numCache>
            </c:numRef>
          </c:xVal>
          <c:yVal>
            <c:numRef>
              <c:f>Components!$P$5:$P$8</c:f>
              <c:numCache>
                <c:formatCode>General</c:formatCode>
                <c:ptCount val="4"/>
                <c:pt idx="0">
                  <c:v>13</c:v>
                </c:pt>
                <c:pt idx="1">
                  <c:v>22</c:v>
                </c:pt>
                <c:pt idx="2">
                  <c:v>21</c:v>
                </c:pt>
                <c:pt idx="3">
                  <c:v>20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7212-442D-BF93-E85AC01642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9381416"/>
        <c:axId val="539381744"/>
      </c:scatterChart>
      <c:valAx>
        <c:axId val="539381416"/>
        <c:scaling>
          <c:orientation val="minMax"/>
          <c:max val="1000"/>
          <c:min val="30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39381744"/>
        <c:crosses val="autoZero"/>
        <c:crossBetween val="midCat"/>
      </c:valAx>
      <c:valAx>
        <c:axId val="5393817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3938141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SLC1070-0.12uH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poly"/>
            <c:order val="2"/>
            <c:dispRSqr val="0"/>
            <c:dispEq val="1"/>
            <c:trendlineLbl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Components!$M$5:$M$8</c:f>
              <c:numCache>
                <c:formatCode>General</c:formatCode>
                <c:ptCount val="4"/>
                <c:pt idx="0">
                  <c:v>300</c:v>
                </c:pt>
                <c:pt idx="1">
                  <c:v>500</c:v>
                </c:pt>
                <c:pt idx="2">
                  <c:v>800</c:v>
                </c:pt>
                <c:pt idx="3">
                  <c:v>1000</c:v>
                </c:pt>
              </c:numCache>
            </c:numRef>
          </c:xVal>
          <c:yVal>
            <c:numRef>
              <c:f>Components!$Q$5:$Q$8</c:f>
              <c:numCache>
                <c:formatCode>General</c:formatCode>
                <c:ptCount val="4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CC71-4A97-AF17-794323ABE3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9381416"/>
        <c:axId val="539381744"/>
      </c:scatterChart>
      <c:valAx>
        <c:axId val="539381416"/>
        <c:scaling>
          <c:orientation val="minMax"/>
          <c:max val="1000"/>
          <c:min val="30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39381744"/>
        <c:crosses val="autoZero"/>
        <c:crossBetween val="midCat"/>
      </c:valAx>
      <c:valAx>
        <c:axId val="5393817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3938141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XAL1010-0.68uH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poly"/>
            <c:order val="2"/>
            <c:dispRSqr val="0"/>
            <c:dispEq val="1"/>
            <c:trendlineLbl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Components!$M$5:$M$8</c:f>
              <c:numCache>
                <c:formatCode>General</c:formatCode>
                <c:ptCount val="4"/>
                <c:pt idx="0">
                  <c:v>300</c:v>
                </c:pt>
                <c:pt idx="1">
                  <c:v>500</c:v>
                </c:pt>
                <c:pt idx="2">
                  <c:v>800</c:v>
                </c:pt>
                <c:pt idx="3">
                  <c:v>1000</c:v>
                </c:pt>
              </c:numCache>
            </c:numRef>
          </c:xVal>
          <c:yVal>
            <c:numRef>
              <c:f>Components!$R$5:$R$8</c:f>
              <c:numCache>
                <c:formatCode>General</c:formatCode>
                <c:ptCount val="4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DC30-4621-8B74-A1FB2787F4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9381416"/>
        <c:axId val="539381744"/>
      </c:scatterChart>
      <c:valAx>
        <c:axId val="539381416"/>
        <c:scaling>
          <c:orientation val="minMax"/>
          <c:max val="1000"/>
          <c:min val="30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39381744"/>
        <c:crosses val="autoZero"/>
        <c:crossBetween val="midCat"/>
      </c:valAx>
      <c:valAx>
        <c:axId val="5393817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3938141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SLC1480-0.32uH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poly"/>
            <c:order val="2"/>
            <c:dispRSqr val="0"/>
            <c:dispEq val="1"/>
            <c:trendlineLbl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Components!$M$5:$M$8</c:f>
              <c:numCache>
                <c:formatCode>General</c:formatCode>
                <c:ptCount val="4"/>
                <c:pt idx="0">
                  <c:v>300</c:v>
                </c:pt>
                <c:pt idx="1">
                  <c:v>500</c:v>
                </c:pt>
                <c:pt idx="2">
                  <c:v>800</c:v>
                </c:pt>
                <c:pt idx="3">
                  <c:v>1000</c:v>
                </c:pt>
              </c:numCache>
            </c:numRef>
          </c:xVal>
          <c:yVal>
            <c:numRef>
              <c:f>Components!$S$5:$S$8</c:f>
              <c:numCache>
                <c:formatCode>General</c:formatCode>
                <c:ptCount val="4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CD61-42DF-A119-C094EAD8B7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9381416"/>
        <c:axId val="539381744"/>
      </c:scatterChart>
      <c:valAx>
        <c:axId val="539381416"/>
        <c:scaling>
          <c:orientation val="minMax"/>
          <c:max val="1000"/>
          <c:min val="30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39381744"/>
        <c:crosses val="autoZero"/>
        <c:crossBetween val="midCat"/>
      </c:valAx>
      <c:valAx>
        <c:axId val="5393817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3938141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ISL70005</a:t>
            </a:r>
            <a:r>
              <a:rPr lang="en-US" baseline="0"/>
              <a:t> Buck Operating Currnet; VIN=3V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1"/>
            <c:trendlineLbl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'Operating Current'!$B$6:$B$7</c:f>
              <c:numCache>
                <c:formatCode>General</c:formatCode>
                <c:ptCount val="2"/>
                <c:pt idx="0">
                  <c:v>100</c:v>
                </c:pt>
                <c:pt idx="1">
                  <c:v>1000</c:v>
                </c:pt>
              </c:numCache>
            </c:numRef>
          </c:xVal>
          <c:yVal>
            <c:numRef>
              <c:f>'Operating Current'!$C$6:$C$7</c:f>
              <c:numCache>
                <c:formatCode>General</c:formatCode>
                <c:ptCount val="2"/>
                <c:pt idx="0">
                  <c:v>6</c:v>
                </c:pt>
                <c:pt idx="1">
                  <c:v>15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389D-49BD-BA1E-E16731051E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12516848"/>
        <c:axId val="812517208"/>
      </c:scatterChart>
      <c:valAx>
        <c:axId val="81251684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Frequency (kHz)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12517208"/>
        <c:crosses val="autoZero"/>
        <c:crossBetween val="midCat"/>
      </c:valAx>
      <c:valAx>
        <c:axId val="8125172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Operating Current (mA)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1251684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ISL70005</a:t>
            </a:r>
            <a:r>
              <a:rPr lang="en-US" baseline="0"/>
              <a:t> Buck Operating Currnet; VIN=5.5V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1"/>
            <c:trendlineLbl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'Operating Current'!$B$6:$B$7</c:f>
              <c:numCache>
                <c:formatCode>General</c:formatCode>
                <c:ptCount val="2"/>
                <c:pt idx="0">
                  <c:v>100</c:v>
                </c:pt>
                <c:pt idx="1">
                  <c:v>1000</c:v>
                </c:pt>
              </c:numCache>
            </c:numRef>
          </c:xVal>
          <c:yVal>
            <c:numRef>
              <c:f>'Operating Current'!$E$6:$E$7</c:f>
              <c:numCache>
                <c:formatCode>General</c:formatCode>
                <c:ptCount val="2"/>
                <c:pt idx="0">
                  <c:v>10</c:v>
                </c:pt>
                <c:pt idx="1">
                  <c:v>25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6C2E-445B-8B3C-3F07E774C0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12516848"/>
        <c:axId val="812517208"/>
      </c:scatterChart>
      <c:valAx>
        <c:axId val="81251684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Frequency (kHz)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12517208"/>
        <c:crosses val="autoZero"/>
        <c:crossBetween val="midCat"/>
      </c:valAx>
      <c:valAx>
        <c:axId val="8125172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Operating Current (mA)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1251684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6" Type="http://schemas.openxmlformats.org/officeDocument/2006/relationships/chart" Target="../charts/chart8.xml"/><Relationship Id="rId5" Type="http://schemas.openxmlformats.org/officeDocument/2006/relationships/chart" Target="../charts/chart7.xml"/><Relationship Id="rId4" Type="http://schemas.openxmlformats.org/officeDocument/2006/relationships/chart" Target="../charts/chart6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chart" Target="../charts/chart9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548947</xdr:colOff>
      <xdr:row>1</xdr:row>
      <xdr:rowOff>30816</xdr:rowOff>
    </xdr:from>
    <xdr:to>
      <xdr:col>19</xdr:col>
      <xdr:colOff>36418</xdr:colOff>
      <xdr:row>20</xdr:row>
      <xdr:rowOff>66235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71437</xdr:colOff>
      <xdr:row>1</xdr:row>
      <xdr:rowOff>65135</xdr:rowOff>
    </xdr:from>
    <xdr:to>
      <xdr:col>28</xdr:col>
      <xdr:colOff>190499</xdr:colOff>
      <xdr:row>20</xdr:row>
      <xdr:rowOff>60405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247650</xdr:colOff>
          <xdr:row>3</xdr:row>
          <xdr:rowOff>85725</xdr:rowOff>
        </xdr:from>
        <xdr:to>
          <xdr:col>3</xdr:col>
          <xdr:colOff>552450</xdr:colOff>
          <xdr:row>7</xdr:row>
          <xdr:rowOff>9525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4</xdr:col>
      <xdr:colOff>200025</xdr:colOff>
      <xdr:row>3</xdr:row>
      <xdr:rowOff>152400</xdr:rowOff>
    </xdr:from>
    <xdr:to>
      <xdr:col>11</xdr:col>
      <xdr:colOff>509866</xdr:colOff>
      <xdr:row>21</xdr:row>
      <xdr:rowOff>142875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38425" y="914400"/>
          <a:ext cx="4577041" cy="34194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342901</xdr:colOff>
      <xdr:row>12</xdr:row>
      <xdr:rowOff>66675</xdr:rowOff>
    </xdr:from>
    <xdr:to>
      <xdr:col>14</xdr:col>
      <xdr:colOff>209551</xdr:colOff>
      <xdr:row>27</xdr:row>
      <xdr:rowOff>76200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304800</xdr:colOff>
      <xdr:row>12</xdr:row>
      <xdr:rowOff>47625</xdr:rowOff>
    </xdr:from>
    <xdr:to>
      <xdr:col>17</xdr:col>
      <xdr:colOff>752475</xdr:colOff>
      <xdr:row>27</xdr:row>
      <xdr:rowOff>57150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17</xdr:col>
      <xdr:colOff>838200</xdr:colOff>
      <xdr:row>12</xdr:row>
      <xdr:rowOff>38100</xdr:rowOff>
    </xdr:from>
    <xdr:to>
      <xdr:col>23</xdr:col>
      <xdr:colOff>123825</xdr:colOff>
      <xdr:row>27</xdr:row>
      <xdr:rowOff>47625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17</xdr:col>
      <xdr:colOff>857250</xdr:colOff>
      <xdr:row>27</xdr:row>
      <xdr:rowOff>161925</xdr:rowOff>
    </xdr:from>
    <xdr:to>
      <xdr:col>23</xdr:col>
      <xdr:colOff>142875</xdr:colOff>
      <xdr:row>43</xdr:row>
      <xdr:rowOff>171450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14</xdr:col>
      <xdr:colOff>276225</xdr:colOff>
      <xdr:row>27</xdr:row>
      <xdr:rowOff>142875</xdr:rowOff>
    </xdr:from>
    <xdr:to>
      <xdr:col>17</xdr:col>
      <xdr:colOff>723900</xdr:colOff>
      <xdr:row>43</xdr:row>
      <xdr:rowOff>152400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285750</xdr:colOff>
      <xdr:row>27</xdr:row>
      <xdr:rowOff>161925</xdr:rowOff>
    </xdr:from>
    <xdr:to>
      <xdr:col>14</xdr:col>
      <xdr:colOff>152400</xdr:colOff>
      <xdr:row>43</xdr:row>
      <xdr:rowOff>171450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114300</xdr:colOff>
      <xdr:row>9</xdr:row>
      <xdr:rowOff>166686</xdr:rowOff>
    </xdr:from>
    <xdr:to>
      <xdr:col>12</xdr:col>
      <xdr:colOff>342900</xdr:colOff>
      <xdr:row>27</xdr:row>
      <xdr:rowOff>190499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485775</xdr:colOff>
      <xdr:row>9</xdr:row>
      <xdr:rowOff>152400</xdr:rowOff>
    </xdr:from>
    <xdr:to>
      <xdr:col>20</xdr:col>
      <xdr:colOff>485775</xdr:colOff>
      <xdr:row>27</xdr:row>
      <xdr:rowOff>176213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5B53D3-5DB0-4E25-9EAA-DE6A3F9237A3}">
  <dimension ref="A1:Y123"/>
  <sheetViews>
    <sheetView tabSelected="1" zoomScale="80" zoomScaleNormal="80" workbookViewId="0">
      <pane ySplit="24" topLeftCell="A25" activePane="bottomLeft" state="frozen"/>
      <selection pane="bottomLeft" activeCell="I6" sqref="I6"/>
    </sheetView>
  </sheetViews>
  <sheetFormatPr defaultRowHeight="15" x14ac:dyDescent="0.25"/>
  <cols>
    <col min="1" max="1" width="14.5703125" customWidth="1"/>
    <col min="2" max="2" width="24.28515625" customWidth="1"/>
    <col min="3" max="3" width="8.5703125" customWidth="1"/>
    <col min="4" max="4" width="22.140625" customWidth="1"/>
    <col min="5" max="5" width="13.140625" customWidth="1"/>
    <col min="6" max="6" width="12" customWidth="1"/>
    <col min="7" max="7" width="13.42578125" customWidth="1"/>
    <col min="8" max="8" width="14.140625" customWidth="1"/>
    <col min="9" max="10" width="14.42578125" customWidth="1"/>
    <col min="11" max="11" width="12.140625" customWidth="1"/>
    <col min="12" max="12" width="12.85546875" customWidth="1"/>
    <col min="13" max="13" width="9.140625" customWidth="1"/>
    <col min="14" max="14" width="7.140625" customWidth="1"/>
    <col min="15" max="15" width="10" customWidth="1"/>
    <col min="16" max="16" width="11.7109375" customWidth="1"/>
    <col min="17" max="17" width="7.42578125" customWidth="1"/>
    <col min="18" max="18" width="12.28515625" customWidth="1"/>
    <col min="19" max="19" width="12" customWidth="1"/>
    <col min="20" max="20" width="11.5703125" customWidth="1"/>
    <col min="21" max="21" width="12.42578125" customWidth="1"/>
    <col min="22" max="22" width="11.85546875" customWidth="1"/>
    <col min="23" max="23" width="10.28515625" customWidth="1"/>
    <col min="24" max="24" width="12.42578125" customWidth="1"/>
    <col min="25" max="25" width="12.85546875" customWidth="1"/>
  </cols>
  <sheetData>
    <row r="1" spans="1:12" ht="18.75" x14ac:dyDescent="0.3">
      <c r="A1" s="13" t="s">
        <v>112</v>
      </c>
      <c r="G1" s="37" t="s">
        <v>159</v>
      </c>
      <c r="H1" s="37"/>
      <c r="I1" s="37"/>
      <c r="J1" s="37"/>
      <c r="K1" s="37"/>
      <c r="L1" s="37"/>
    </row>
    <row r="2" spans="1:12" x14ac:dyDescent="0.25">
      <c r="A2" t="s">
        <v>96</v>
      </c>
      <c r="B2" s="8" t="s">
        <v>149</v>
      </c>
      <c r="D2" s="35" t="s">
        <v>113</v>
      </c>
      <c r="E2" s="30">
        <v>1</v>
      </c>
    </row>
    <row r="3" spans="1:12" x14ac:dyDescent="0.25">
      <c r="A3" t="s">
        <v>97</v>
      </c>
      <c r="B3" s="8" t="s">
        <v>142</v>
      </c>
      <c r="D3" s="35" t="s">
        <v>106</v>
      </c>
      <c r="E3" s="30">
        <v>1</v>
      </c>
    </row>
    <row r="4" spans="1:12" x14ac:dyDescent="0.25">
      <c r="A4" t="s">
        <v>98</v>
      </c>
      <c r="B4" s="8" t="s">
        <v>140</v>
      </c>
      <c r="D4" s="35" t="s">
        <v>107</v>
      </c>
      <c r="E4" s="30">
        <v>1</v>
      </c>
    </row>
    <row r="5" spans="1:12" x14ac:dyDescent="0.25">
      <c r="A5" t="s">
        <v>114</v>
      </c>
      <c r="B5" s="8">
        <v>3</v>
      </c>
      <c r="C5" t="s">
        <v>0</v>
      </c>
      <c r="D5" s="6" t="s">
        <v>1</v>
      </c>
      <c r="F5" t="s">
        <v>37</v>
      </c>
      <c r="G5" s="36">
        <v>10</v>
      </c>
      <c r="H5" t="s">
        <v>25</v>
      </c>
      <c r="I5" t="s">
        <v>40</v>
      </c>
    </row>
    <row r="6" spans="1:12" x14ac:dyDescent="0.25">
      <c r="A6" t="s">
        <v>115</v>
      </c>
      <c r="B6" s="8">
        <v>1.5</v>
      </c>
      <c r="C6" t="s">
        <v>0</v>
      </c>
      <c r="D6" s="6" t="s">
        <v>2</v>
      </c>
      <c r="F6" t="s">
        <v>38</v>
      </c>
      <c r="G6" s="36">
        <v>10</v>
      </c>
      <c r="H6" t="s">
        <v>25</v>
      </c>
      <c r="I6" t="s">
        <v>41</v>
      </c>
    </row>
    <row r="7" spans="1:12" x14ac:dyDescent="0.25">
      <c r="A7" t="s">
        <v>3</v>
      </c>
      <c r="B7" s="14">
        <f>B6/B5*100</f>
        <v>50</v>
      </c>
      <c r="C7" t="s">
        <v>15</v>
      </c>
      <c r="D7" s="6" t="s">
        <v>4</v>
      </c>
      <c r="F7" t="s">
        <v>39</v>
      </c>
      <c r="G7" s="36">
        <v>10</v>
      </c>
      <c r="H7" t="s">
        <v>25</v>
      </c>
      <c r="I7" t="s">
        <v>42</v>
      </c>
    </row>
    <row r="8" spans="1:12" x14ac:dyDescent="0.25">
      <c r="A8" t="s">
        <v>10</v>
      </c>
      <c r="B8" s="8">
        <v>100</v>
      </c>
      <c r="C8" t="s">
        <v>11</v>
      </c>
      <c r="D8" s="6" t="s">
        <v>14</v>
      </c>
      <c r="F8" t="s">
        <v>39</v>
      </c>
      <c r="G8" s="36">
        <v>10</v>
      </c>
      <c r="H8" t="s">
        <v>25</v>
      </c>
      <c r="I8" t="s">
        <v>43</v>
      </c>
    </row>
    <row r="9" spans="1:12" x14ac:dyDescent="0.25">
      <c r="A9" t="s">
        <v>23</v>
      </c>
      <c r="B9" s="15">
        <f>B7/100/(B8*1000)*1000000000</f>
        <v>5000</v>
      </c>
      <c r="C9" t="s">
        <v>25</v>
      </c>
      <c r="D9" s="6" t="s">
        <v>26</v>
      </c>
      <c r="F9" t="s">
        <v>46</v>
      </c>
      <c r="G9" s="16">
        <v>0</v>
      </c>
      <c r="H9" t="s">
        <v>48</v>
      </c>
      <c r="I9" t="s">
        <v>147</v>
      </c>
    </row>
    <row r="10" spans="1:12" x14ac:dyDescent="0.25">
      <c r="A10" t="s">
        <v>24</v>
      </c>
      <c r="B10" s="15">
        <f>(1-B7/100)/(B8*1000)*1000000000</f>
        <v>5000</v>
      </c>
      <c r="C10" t="s">
        <v>25</v>
      </c>
      <c r="D10" s="6" t="s">
        <v>27</v>
      </c>
      <c r="F10" t="s">
        <v>47</v>
      </c>
      <c r="G10" s="16">
        <v>0</v>
      </c>
      <c r="H10" t="s">
        <v>48</v>
      </c>
      <c r="I10" t="s">
        <v>147</v>
      </c>
    </row>
    <row r="11" spans="1:12" x14ac:dyDescent="0.25">
      <c r="A11" t="s">
        <v>17</v>
      </c>
      <c r="B11" s="16">
        <f>VLOOKUP(Efficiency!B2, Components!C5:E10, 2,0)</f>
        <v>15</v>
      </c>
      <c r="C11" t="s">
        <v>18</v>
      </c>
      <c r="D11" s="6" t="s">
        <v>19</v>
      </c>
      <c r="F11" t="s">
        <v>50</v>
      </c>
      <c r="G11" s="36">
        <v>1.5</v>
      </c>
      <c r="H11" t="s">
        <v>0</v>
      </c>
      <c r="I11" t="s">
        <v>119</v>
      </c>
    </row>
    <row r="12" spans="1:12" ht="14.25" customHeight="1" x14ac:dyDescent="0.25">
      <c r="A12" t="s">
        <v>5</v>
      </c>
      <c r="B12" s="16">
        <f>VLOOKUP(B3,Components!C20:H27,3,0)/E3</f>
        <v>122.5</v>
      </c>
      <c r="C12" t="s">
        <v>6</v>
      </c>
      <c r="D12" s="6" t="s">
        <v>12</v>
      </c>
      <c r="F12" t="s">
        <v>52</v>
      </c>
      <c r="G12" s="36">
        <v>10</v>
      </c>
      <c r="H12" t="s">
        <v>25</v>
      </c>
      <c r="I12" t="s">
        <v>54</v>
      </c>
    </row>
    <row r="13" spans="1:12" ht="15" customHeight="1" x14ac:dyDescent="0.25">
      <c r="A13" t="s">
        <v>7</v>
      </c>
      <c r="B13" s="16">
        <f>VLOOKUP(B4, Components!C20:H27,3,0)/E4</f>
        <v>45</v>
      </c>
      <c r="C13" t="s">
        <v>6</v>
      </c>
      <c r="D13" s="6" t="s">
        <v>13</v>
      </c>
      <c r="F13" t="s">
        <v>53</v>
      </c>
      <c r="G13" s="36">
        <v>10</v>
      </c>
      <c r="H13" t="s">
        <v>25</v>
      </c>
      <c r="I13" t="s">
        <v>55</v>
      </c>
    </row>
    <row r="14" spans="1:12" x14ac:dyDescent="0.25">
      <c r="A14" t="s">
        <v>8</v>
      </c>
      <c r="B14" s="16">
        <f>VLOOKUP(B2,Components!C5:E10,3,0)</f>
        <v>40</v>
      </c>
      <c r="C14" t="s">
        <v>6</v>
      </c>
      <c r="D14" s="6" t="s">
        <v>9</v>
      </c>
      <c r="F14" t="s">
        <v>56</v>
      </c>
      <c r="G14" s="16">
        <v>0</v>
      </c>
      <c r="H14" t="s">
        <v>58</v>
      </c>
      <c r="I14" t="s">
        <v>146</v>
      </c>
    </row>
    <row r="15" spans="1:12" x14ac:dyDescent="0.25">
      <c r="A15" t="s">
        <v>84</v>
      </c>
      <c r="B15" s="14">
        <f>VLOOKUP(B2,Components!C5:J10,8,0)</f>
        <v>3.1448</v>
      </c>
      <c r="C15" t="s">
        <v>86</v>
      </c>
      <c r="D15" s="6" t="s">
        <v>85</v>
      </c>
      <c r="F15" t="s">
        <v>57</v>
      </c>
      <c r="G15" s="16">
        <v>0</v>
      </c>
      <c r="H15" t="s">
        <v>58</v>
      </c>
      <c r="I15" t="s">
        <v>146</v>
      </c>
    </row>
    <row r="16" spans="1:12" x14ac:dyDescent="0.25">
      <c r="A16" t="s">
        <v>70</v>
      </c>
      <c r="B16" s="16">
        <v>0</v>
      </c>
      <c r="C16" t="s">
        <v>6</v>
      </c>
      <c r="D16" s="6" t="s">
        <v>71</v>
      </c>
      <c r="F16" t="s">
        <v>60</v>
      </c>
      <c r="G16" s="16">
        <f>B5</f>
        <v>3</v>
      </c>
      <c r="H16" t="s">
        <v>0</v>
      </c>
      <c r="I16" t="s">
        <v>61</v>
      </c>
    </row>
    <row r="17" spans="1:25" x14ac:dyDescent="0.25">
      <c r="A17" t="s">
        <v>30</v>
      </c>
      <c r="B17" s="8">
        <v>3</v>
      </c>
      <c r="C17" t="s">
        <v>28</v>
      </c>
      <c r="D17" s="6" t="s">
        <v>31</v>
      </c>
      <c r="F17" t="s">
        <v>62</v>
      </c>
      <c r="G17" s="8">
        <v>30</v>
      </c>
      <c r="H17" t="s">
        <v>6</v>
      </c>
      <c r="I17" t="s">
        <v>64</v>
      </c>
    </row>
    <row r="18" spans="1:25" x14ac:dyDescent="0.25">
      <c r="A18" t="s">
        <v>21</v>
      </c>
      <c r="B18" s="17">
        <f>(B5-B6)/(B11*0.000001)*B9*0.000000001</f>
        <v>0.50000000000000011</v>
      </c>
      <c r="C18" t="s">
        <v>28</v>
      </c>
      <c r="D18" s="6" t="s">
        <v>76</v>
      </c>
      <c r="F18" t="s">
        <v>63</v>
      </c>
      <c r="G18" s="8">
        <v>30</v>
      </c>
      <c r="H18" t="s">
        <v>6</v>
      </c>
      <c r="I18" t="s">
        <v>65</v>
      </c>
    </row>
    <row r="19" spans="1:25" x14ac:dyDescent="0.25">
      <c r="A19" t="s">
        <v>22</v>
      </c>
      <c r="B19" s="17">
        <f>B6/(B11*0.000001)*B10*0.000000001</f>
        <v>0.50000000000000011</v>
      </c>
      <c r="C19" t="s">
        <v>29</v>
      </c>
      <c r="D19" s="6" t="s">
        <v>77</v>
      </c>
      <c r="F19" t="s">
        <v>80</v>
      </c>
      <c r="G19" s="16">
        <f>B5</f>
        <v>3</v>
      </c>
      <c r="H19" t="s">
        <v>0</v>
      </c>
      <c r="I19" t="s">
        <v>127</v>
      </c>
    </row>
    <row r="20" spans="1:25" ht="30" x14ac:dyDescent="0.25">
      <c r="A20" t="s">
        <v>32</v>
      </c>
      <c r="B20" s="14">
        <f>B18/(B17/E2)*100</f>
        <v>16.666666666666671</v>
      </c>
      <c r="C20" t="s">
        <v>15</v>
      </c>
      <c r="D20" s="6" t="s">
        <v>33</v>
      </c>
      <c r="F20" t="s">
        <v>78</v>
      </c>
      <c r="G20" s="14">
        <f>IF(G19=3, VLOOKUP(B8,'Operating Current'!B13:D22,2,0), IF(G19=5.5, VLOOKUP(B8,'Operating Current'!B13:F22,4,0)))</f>
        <v>6</v>
      </c>
      <c r="H20" t="s">
        <v>79</v>
      </c>
      <c r="I20" t="s">
        <v>126</v>
      </c>
    </row>
    <row r="22" spans="1:25" s="6" customFormat="1" ht="30" customHeight="1" x14ac:dyDescent="0.25">
      <c r="A22" s="6" t="s">
        <v>34</v>
      </c>
      <c r="B22" s="6" t="s">
        <v>117</v>
      </c>
      <c r="C22" s="6" t="s">
        <v>20</v>
      </c>
      <c r="D22" s="6" t="s">
        <v>35</v>
      </c>
      <c r="E22" s="6" t="s">
        <v>36</v>
      </c>
      <c r="F22" s="6" t="s">
        <v>109</v>
      </c>
      <c r="G22" s="6" t="s">
        <v>108</v>
      </c>
      <c r="H22" s="6" t="s">
        <v>44</v>
      </c>
      <c r="I22" s="6" t="s">
        <v>45</v>
      </c>
      <c r="J22" s="6" t="s">
        <v>49</v>
      </c>
      <c r="K22" s="6" t="s">
        <v>51</v>
      </c>
      <c r="L22" s="6" t="s">
        <v>59</v>
      </c>
      <c r="M22" s="6" t="s">
        <v>66</v>
      </c>
      <c r="N22" s="6" t="s">
        <v>67</v>
      </c>
      <c r="O22" s="6" t="s">
        <v>68</v>
      </c>
      <c r="P22" s="6" t="s">
        <v>69</v>
      </c>
      <c r="Q22" s="6" t="s">
        <v>118</v>
      </c>
      <c r="R22" s="6" t="s">
        <v>82</v>
      </c>
      <c r="S22" s="6" t="s">
        <v>72</v>
      </c>
      <c r="T22" s="6" t="s">
        <v>73</v>
      </c>
      <c r="U22" s="6" t="s">
        <v>83</v>
      </c>
      <c r="V22" s="6" t="s">
        <v>74</v>
      </c>
      <c r="W22" s="6" t="s">
        <v>75</v>
      </c>
      <c r="X22" s="6" t="s">
        <v>81</v>
      </c>
      <c r="Y22" s="6" t="s">
        <v>116</v>
      </c>
    </row>
    <row r="23" spans="1:25" x14ac:dyDescent="0.25">
      <c r="A23">
        <v>0</v>
      </c>
      <c r="B23">
        <f t="shared" ref="B23:B54" si="0">$B$17/$E$2*A23/100</f>
        <v>0</v>
      </c>
      <c r="C23" s="3">
        <f t="shared" ref="C23:C73" si="1">(B23^2 + $B$18^2/12)^0.5</f>
        <v>0.14433756729740646</v>
      </c>
      <c r="D23" s="2">
        <f t="shared" ref="D23:D54" si="2">(C23/$E$2)^2*$B$12/1000*$B$7/100*$E$2</f>
        <v>1.2760416666666669E-3</v>
      </c>
      <c r="E23" s="2">
        <f t="shared" ref="E23:E54" si="3">(C23/$E$2)^2*$B$13/1000*(1-$B$7/100)*$E$2</f>
        <v>4.6875000000000009E-4</v>
      </c>
      <c r="F23" s="2">
        <f t="shared" ref="F23:F54" si="4">(C23/$E$2)^2*($B$16/1000)*$E$2</f>
        <v>0</v>
      </c>
      <c r="G23" s="2">
        <f t="shared" ref="G23:G54" si="5">(C23/$E$2)^2*($B$14/1000)*$E$2 + $B$15/1000*$E$2</f>
        <v>3.978133333333334E-3</v>
      </c>
      <c r="H23" s="2">
        <f t="shared" ref="H23:H54" si="6">0.5*$B$5*C23/$E$2*($G$5+$G$6)*$E$2*0.000000001*$B$8*1000</f>
        <v>4.3301270189221946E-4</v>
      </c>
      <c r="I23" s="2">
        <f t="shared" ref="I23:I54" si="7">0.5*$G$11*C23/$E$2*($G$7+$G$8)*$E$2*0.000000001*$B$8*1000</f>
        <v>2.1650635094610973E-4</v>
      </c>
      <c r="J23" s="2">
        <f t="shared" ref="J23:J54" si="8">0.5*($G$9+$G$10)*$E$2*0.000000000001*($B$5)^2*$B$8*1000</f>
        <v>0</v>
      </c>
      <c r="K23" s="2">
        <f>$G$11*C23/$E$2*($G$12+$G$13)*$E$2*0.000000001*$B$8*1000</f>
        <v>4.3301270189221946E-4</v>
      </c>
      <c r="L23" s="2">
        <f>($G$14+$G$15)*$E$2*0.000000001*$G$16*$B$8*1000</f>
        <v>0</v>
      </c>
      <c r="M23" s="2">
        <f t="shared" ref="M23:M54" si="9">($B$18/(2*3^0.5))^2*$G$17/1000+(C23*(($B$5-$B$6)*$B$6)^0.5/$B$5)^2*$G$18/1000</f>
        <v>7.8125000000000037E-4</v>
      </c>
      <c r="N23" s="3">
        <f>SUM(D23:M23,R23)</f>
        <v>1.6586706754730549E-2</v>
      </c>
      <c r="O23" s="3">
        <f t="shared" ref="O23:O54" si="10">$B$6*B23</f>
        <v>0</v>
      </c>
      <c r="P23" s="3">
        <f>O23/(N23+O23)*100</f>
        <v>0</v>
      </c>
      <c r="Q23">
        <f>$B$17/$E$2*A23/100</f>
        <v>0</v>
      </c>
      <c r="R23" s="3">
        <f>$G$19*$G$20/1000*$E$2/2</f>
        <v>8.9999999999999993E-3</v>
      </c>
      <c r="S23" s="1">
        <f>D23+E23+F23+G23+M23</f>
        <v>6.5041750000000018E-3</v>
      </c>
      <c r="T23" s="2">
        <f>SUM(H23:L23)</f>
        <v>1.0825317547305487E-3</v>
      </c>
      <c r="U23" s="3">
        <f>R23/N23*100</f>
        <v>54.260319019827065</v>
      </c>
      <c r="V23" s="5">
        <f>S23/N23*100</f>
        <v>39.213178940087083</v>
      </c>
      <c r="W23" s="5">
        <f t="shared" ref="W23:W73" si="11">T23/N23*100</f>
        <v>6.5265020400858615</v>
      </c>
      <c r="X23" s="9">
        <f>MAX(P23:P73)</f>
        <v>93.843989771239421</v>
      </c>
      <c r="Y23" s="9">
        <f>VLOOKUP(X23,P23:Q73,2,0)</f>
        <v>0.36</v>
      </c>
    </row>
    <row r="24" spans="1:25" x14ac:dyDescent="0.25">
      <c r="A24">
        <f t="shared" ref="A24:A55" si="12">A23+2*$E$2</f>
        <v>2</v>
      </c>
      <c r="B24">
        <f t="shared" si="0"/>
        <v>0.06</v>
      </c>
      <c r="C24" s="3">
        <f t="shared" si="1"/>
        <v>0.15631165450257808</v>
      </c>
      <c r="D24" s="2">
        <f t="shared" si="2"/>
        <v>1.4965416666666671E-3</v>
      </c>
      <c r="E24" s="2">
        <f t="shared" si="3"/>
        <v>5.4975000000000011E-4</v>
      </c>
      <c r="F24" s="2">
        <f t="shared" si="4"/>
        <v>0</v>
      </c>
      <c r="G24" s="2">
        <f t="shared" si="5"/>
        <v>4.1221333333333332E-3</v>
      </c>
      <c r="H24" s="2">
        <f t="shared" si="6"/>
        <v>4.6893496350773422E-4</v>
      </c>
      <c r="I24" s="2">
        <f t="shared" si="7"/>
        <v>2.3446748175386711E-4</v>
      </c>
      <c r="J24" s="2">
        <f t="shared" si="8"/>
        <v>0</v>
      </c>
      <c r="K24" s="2">
        <f t="shared" ref="K24:K54" si="13">$G$11*C24/$E$2*($G$12+$G$13)*$E$2*0.000000001*$B$8*1000</f>
        <v>4.6893496350773422E-4</v>
      </c>
      <c r="L24" s="2">
        <f t="shared" ref="L24:L54" si="14">($G$14+$G$15)*$E$2*0.000000001*$G$16*$B$8*1000</f>
        <v>0</v>
      </c>
      <c r="M24" s="2">
        <f t="shared" si="9"/>
        <v>8.0825000000000037E-4</v>
      </c>
      <c r="N24" s="3">
        <f t="shared" ref="N24:N54" si="15">SUM(D24:M24,R24)</f>
        <v>1.7149012408769336E-2</v>
      </c>
      <c r="O24" s="3">
        <f t="shared" si="10"/>
        <v>0.09</v>
      </c>
      <c r="P24" s="3">
        <f t="shared" ref="P24:P73" si="16">O24/(N24+O24)*100</f>
        <v>83.995174548742895</v>
      </c>
      <c r="Q24">
        <f t="shared" ref="Q24:Q73" si="17">$B$17/$E$2*A24/100</f>
        <v>0.06</v>
      </c>
      <c r="R24" s="3">
        <f t="shared" ref="R24:R73" si="18">$G$19*$G$20/1000*$E$2/2</f>
        <v>8.9999999999999993E-3</v>
      </c>
      <c r="S24" s="1">
        <f t="shared" ref="S24:S73" si="19">D24+E24+F24+G24+M24</f>
        <v>6.9766749999999999E-3</v>
      </c>
      <c r="T24" s="2">
        <f t="shared" ref="T24:T73" si="20">SUM(H24:L24)</f>
        <v>1.1723374087693355E-3</v>
      </c>
      <c r="U24" s="3">
        <f t="shared" ref="U24:U73" si="21">R24/N24*100</f>
        <v>52.481156264122532</v>
      </c>
      <c r="V24" s="5">
        <f t="shared" ref="V24:V73" si="22">S24/N24*100</f>
        <v>40.682663430999675</v>
      </c>
      <c r="W24" s="5">
        <f t="shared" si="11"/>
        <v>6.8361803048777769</v>
      </c>
    </row>
    <row r="25" spans="1:25" x14ac:dyDescent="0.25">
      <c r="A25">
        <f t="shared" si="12"/>
        <v>4</v>
      </c>
      <c r="B25">
        <f t="shared" si="0"/>
        <v>0.12</v>
      </c>
      <c r="C25" s="3">
        <f t="shared" si="1"/>
        <v>0.18770544300401451</v>
      </c>
      <c r="D25" s="2">
        <f t="shared" si="2"/>
        <v>2.158041666666667E-3</v>
      </c>
      <c r="E25" s="2">
        <f t="shared" si="3"/>
        <v>7.9275000000000005E-4</v>
      </c>
      <c r="F25" s="2">
        <f t="shared" si="4"/>
        <v>0</v>
      </c>
      <c r="G25" s="2">
        <f t="shared" si="5"/>
        <v>4.5541333333333333E-3</v>
      </c>
      <c r="H25" s="2">
        <f t="shared" si="6"/>
        <v>5.6311632901204353E-4</v>
      </c>
      <c r="I25" s="2">
        <f t="shared" si="7"/>
        <v>2.8155816450602176E-4</v>
      </c>
      <c r="J25" s="2">
        <f t="shared" si="8"/>
        <v>0</v>
      </c>
      <c r="K25" s="2">
        <f t="shared" si="13"/>
        <v>5.6311632901204353E-4</v>
      </c>
      <c r="L25" s="2">
        <f t="shared" si="14"/>
        <v>0</v>
      </c>
      <c r="M25" s="2">
        <f t="shared" si="9"/>
        <v>8.8925000000000039E-4</v>
      </c>
      <c r="N25" s="3">
        <f t="shared" si="15"/>
        <v>1.880196582253011E-2</v>
      </c>
      <c r="O25" s="3">
        <f t="shared" si="10"/>
        <v>0.18</v>
      </c>
      <c r="P25" s="3">
        <f t="shared" si="16"/>
        <v>90.542364234308153</v>
      </c>
      <c r="Q25">
        <f t="shared" si="17"/>
        <v>0.12</v>
      </c>
      <c r="R25" s="3">
        <f t="shared" si="18"/>
        <v>8.9999999999999993E-3</v>
      </c>
      <c r="S25" s="1">
        <f t="shared" si="19"/>
        <v>8.394175000000002E-3</v>
      </c>
      <c r="T25" s="2">
        <f t="shared" si="20"/>
        <v>1.4077908225301088E-3</v>
      </c>
      <c r="U25" s="3">
        <f t="shared" si="21"/>
        <v>47.867335176279468</v>
      </c>
      <c r="V25" s="5">
        <f t="shared" si="22"/>
        <v>44.645198694816209</v>
      </c>
      <c r="W25" s="5">
        <f t="shared" si="11"/>
        <v>7.4874661289043214</v>
      </c>
    </row>
    <row r="26" spans="1:25" x14ac:dyDescent="0.25">
      <c r="A26">
        <f t="shared" si="12"/>
        <v>6</v>
      </c>
      <c r="B26">
        <f t="shared" si="0"/>
        <v>0.18</v>
      </c>
      <c r="C26" s="3">
        <f t="shared" si="1"/>
        <v>0.23072349974229617</v>
      </c>
      <c r="D26" s="2">
        <f t="shared" si="2"/>
        <v>3.2605416666666668E-3</v>
      </c>
      <c r="E26" s="2">
        <f t="shared" si="3"/>
        <v>1.19775E-3</v>
      </c>
      <c r="F26" s="2">
        <f t="shared" si="4"/>
        <v>0</v>
      </c>
      <c r="G26" s="2">
        <f t="shared" si="5"/>
        <v>5.2741333333333335E-3</v>
      </c>
      <c r="H26" s="2">
        <f t="shared" si="6"/>
        <v>6.9217049922688854E-4</v>
      </c>
      <c r="I26" s="2">
        <f t="shared" si="7"/>
        <v>3.4608524961344427E-4</v>
      </c>
      <c r="J26" s="2">
        <f t="shared" si="8"/>
        <v>0</v>
      </c>
      <c r="K26" s="2">
        <f t="shared" si="13"/>
        <v>6.9217049922688854E-4</v>
      </c>
      <c r="L26" s="2">
        <f t="shared" si="14"/>
        <v>0</v>
      </c>
      <c r="M26" s="2">
        <f t="shared" si="9"/>
        <v>1.0242500000000002E-3</v>
      </c>
      <c r="N26" s="3">
        <f t="shared" si="15"/>
        <v>2.1487101248067221E-2</v>
      </c>
      <c r="O26" s="3">
        <f t="shared" si="10"/>
        <v>0.27</v>
      </c>
      <c r="P26" s="3">
        <f t="shared" si="16"/>
        <v>92.628455545351613</v>
      </c>
      <c r="Q26">
        <f t="shared" si="17"/>
        <v>0.18</v>
      </c>
      <c r="R26" s="3">
        <f t="shared" si="18"/>
        <v>8.9999999999999993E-3</v>
      </c>
      <c r="S26" s="1">
        <f t="shared" si="19"/>
        <v>1.0756675E-2</v>
      </c>
      <c r="T26" s="2">
        <f t="shared" si="20"/>
        <v>1.7304262480672212E-3</v>
      </c>
      <c r="U26" s="3">
        <f t="shared" si="21"/>
        <v>41.885594041260241</v>
      </c>
      <c r="V26" s="5">
        <f t="shared" si="22"/>
        <v>50.061080253752564</v>
      </c>
      <c r="W26" s="5">
        <f t="shared" si="11"/>
        <v>8.0533257049871931</v>
      </c>
    </row>
    <row r="27" spans="1:25" x14ac:dyDescent="0.25">
      <c r="A27">
        <f t="shared" si="12"/>
        <v>8</v>
      </c>
      <c r="B27">
        <f t="shared" si="0"/>
        <v>0.24</v>
      </c>
      <c r="C27" s="3">
        <f t="shared" si="1"/>
        <v>0.28005951748393293</v>
      </c>
      <c r="D27" s="2">
        <f t="shared" si="2"/>
        <v>4.8040416666666674E-3</v>
      </c>
      <c r="E27" s="2">
        <f t="shared" si="3"/>
        <v>1.7647500000000003E-3</v>
      </c>
      <c r="F27" s="2">
        <f t="shared" si="4"/>
        <v>0</v>
      </c>
      <c r="G27" s="2">
        <f t="shared" si="5"/>
        <v>6.2821333333333337E-3</v>
      </c>
      <c r="H27" s="2">
        <f t="shared" si="6"/>
        <v>8.4017855245179884E-4</v>
      </c>
      <c r="I27" s="2">
        <f t="shared" si="7"/>
        <v>4.2008927622589942E-4</v>
      </c>
      <c r="J27" s="2">
        <f t="shared" si="8"/>
        <v>0</v>
      </c>
      <c r="K27" s="2">
        <f t="shared" si="13"/>
        <v>8.4017855245179884E-4</v>
      </c>
      <c r="L27" s="2">
        <f t="shared" si="14"/>
        <v>0</v>
      </c>
      <c r="M27" s="2">
        <f t="shared" si="9"/>
        <v>1.2132500000000004E-3</v>
      </c>
      <c r="N27" s="3">
        <f t="shared" si="15"/>
        <v>2.5164621381129494E-2</v>
      </c>
      <c r="O27" s="3">
        <f t="shared" si="10"/>
        <v>0.36</v>
      </c>
      <c r="P27" s="3">
        <f t="shared" si="16"/>
        <v>93.46652834029932</v>
      </c>
      <c r="Q27">
        <f t="shared" si="17"/>
        <v>0.24</v>
      </c>
      <c r="R27" s="3">
        <f t="shared" si="18"/>
        <v>8.9999999999999993E-3</v>
      </c>
      <c r="S27" s="1">
        <f t="shared" si="19"/>
        <v>1.4064175000000002E-2</v>
      </c>
      <c r="T27" s="2">
        <f t="shared" si="20"/>
        <v>2.1004463811294971E-3</v>
      </c>
      <c r="U27" s="3">
        <f t="shared" si="21"/>
        <v>35.764495971113405</v>
      </c>
      <c r="V27" s="5">
        <f t="shared" si="22"/>
        <v>55.888681124948214</v>
      </c>
      <c r="W27" s="5">
        <f t="shared" si="11"/>
        <v>8.3468229039384028</v>
      </c>
    </row>
    <row r="28" spans="1:25" x14ac:dyDescent="0.25">
      <c r="A28">
        <f t="shared" si="12"/>
        <v>10</v>
      </c>
      <c r="B28">
        <f t="shared" si="0"/>
        <v>0.3</v>
      </c>
      <c r="C28" s="3">
        <f t="shared" si="1"/>
        <v>0.33291640592396965</v>
      </c>
      <c r="D28" s="2">
        <f t="shared" si="2"/>
        <v>6.7885416666666675E-3</v>
      </c>
      <c r="E28" s="2">
        <f t="shared" si="3"/>
        <v>2.4937500000000003E-3</v>
      </c>
      <c r="F28" s="2">
        <f t="shared" si="4"/>
        <v>0</v>
      </c>
      <c r="G28" s="2">
        <f t="shared" si="5"/>
        <v>7.5781333333333339E-3</v>
      </c>
      <c r="H28" s="2">
        <f t="shared" si="6"/>
        <v>9.9874921777190896E-4</v>
      </c>
      <c r="I28" s="2">
        <f t="shared" si="7"/>
        <v>4.9937460888595448E-4</v>
      </c>
      <c r="J28" s="2">
        <f t="shared" si="8"/>
        <v>0</v>
      </c>
      <c r="K28" s="2">
        <f t="shared" si="13"/>
        <v>9.9874921777190896E-4</v>
      </c>
      <c r="L28" s="2">
        <f t="shared" si="14"/>
        <v>0</v>
      </c>
      <c r="M28" s="2">
        <f t="shared" si="9"/>
        <v>1.4562500000000005E-3</v>
      </c>
      <c r="N28" s="3">
        <f t="shared" si="15"/>
        <v>2.9813548044429775E-2</v>
      </c>
      <c r="O28" s="3">
        <f t="shared" si="10"/>
        <v>0.44999999999999996</v>
      </c>
      <c r="P28" s="3">
        <f t="shared" si="16"/>
        <v>93.786430548711991</v>
      </c>
      <c r="Q28">
        <f t="shared" si="17"/>
        <v>0.3</v>
      </c>
      <c r="R28" s="3">
        <f t="shared" si="18"/>
        <v>8.9999999999999993E-3</v>
      </c>
      <c r="S28" s="1">
        <f t="shared" si="19"/>
        <v>1.8316675000000001E-2</v>
      </c>
      <c r="T28" s="2">
        <f t="shared" si="20"/>
        <v>2.4968730444297725E-3</v>
      </c>
      <c r="U28" s="3">
        <f t="shared" si="21"/>
        <v>30.187618013755724</v>
      </c>
      <c r="V28" s="5">
        <f t="shared" si="22"/>
        <v>61.43742090912324</v>
      </c>
      <c r="W28" s="5">
        <f t="shared" si="11"/>
        <v>8.3749610771210339</v>
      </c>
    </row>
    <row r="29" spans="1:25" x14ac:dyDescent="0.25">
      <c r="A29">
        <f t="shared" si="12"/>
        <v>12</v>
      </c>
      <c r="B29">
        <f t="shared" si="0"/>
        <v>0.36</v>
      </c>
      <c r="C29" s="3">
        <f t="shared" si="1"/>
        <v>0.38785736209763161</v>
      </c>
      <c r="D29" s="2">
        <f t="shared" si="2"/>
        <v>9.2140416666666655E-3</v>
      </c>
      <c r="E29" s="2">
        <f t="shared" si="3"/>
        <v>3.3847499999999993E-3</v>
      </c>
      <c r="F29" s="2">
        <f t="shared" si="4"/>
        <v>0</v>
      </c>
      <c r="G29" s="2">
        <f t="shared" si="5"/>
        <v>9.1621333333333325E-3</v>
      </c>
      <c r="H29" s="2">
        <f t="shared" si="6"/>
        <v>1.1635720862928948E-3</v>
      </c>
      <c r="I29" s="2">
        <f t="shared" si="7"/>
        <v>5.817860431464474E-4</v>
      </c>
      <c r="J29" s="2">
        <f t="shared" si="8"/>
        <v>0</v>
      </c>
      <c r="K29" s="2">
        <f t="shared" si="13"/>
        <v>1.1635720862928948E-3</v>
      </c>
      <c r="L29" s="2">
        <f t="shared" si="14"/>
        <v>0</v>
      </c>
      <c r="M29" s="2">
        <f t="shared" si="9"/>
        <v>1.75325E-3</v>
      </c>
      <c r="N29" s="3">
        <f t="shared" si="15"/>
        <v>3.5423105215732234E-2</v>
      </c>
      <c r="O29" s="3">
        <f t="shared" si="10"/>
        <v>0.54</v>
      </c>
      <c r="P29" s="3">
        <f t="shared" si="16"/>
        <v>93.843989771239421</v>
      </c>
      <c r="Q29">
        <f t="shared" si="17"/>
        <v>0.36</v>
      </c>
      <c r="R29" s="3">
        <f t="shared" si="18"/>
        <v>8.9999999999999993E-3</v>
      </c>
      <c r="S29" s="1">
        <f t="shared" si="19"/>
        <v>2.3514174999999998E-2</v>
      </c>
      <c r="T29" s="2">
        <f t="shared" si="20"/>
        <v>2.9089302157322373E-3</v>
      </c>
      <c r="U29" s="3">
        <f t="shared" si="21"/>
        <v>25.407145830916278</v>
      </c>
      <c r="V29" s="5">
        <f t="shared" si="22"/>
        <v>66.380897035409532</v>
      </c>
      <c r="W29" s="5">
        <f t="shared" si="11"/>
        <v>8.2119571336741899</v>
      </c>
    </row>
    <row r="30" spans="1:25" x14ac:dyDescent="0.25">
      <c r="A30">
        <f t="shared" si="12"/>
        <v>14</v>
      </c>
      <c r="B30">
        <f t="shared" si="0"/>
        <v>0.42</v>
      </c>
      <c r="C30" s="3">
        <f t="shared" si="1"/>
        <v>0.4441095960833692</v>
      </c>
      <c r="D30" s="2">
        <f t="shared" si="2"/>
        <v>1.2080541666666667E-2</v>
      </c>
      <c r="E30" s="2">
        <f t="shared" si="3"/>
        <v>4.4377500000000007E-3</v>
      </c>
      <c r="F30" s="2">
        <f t="shared" si="4"/>
        <v>0</v>
      </c>
      <c r="G30" s="2">
        <f t="shared" si="5"/>
        <v>1.1034133333333333E-2</v>
      </c>
      <c r="H30" s="2">
        <f t="shared" si="6"/>
        <v>1.3323287882501076E-3</v>
      </c>
      <c r="I30" s="2">
        <f t="shared" si="7"/>
        <v>6.6616439412505379E-4</v>
      </c>
      <c r="J30" s="2">
        <f t="shared" si="8"/>
        <v>0</v>
      </c>
      <c r="K30" s="2">
        <f t="shared" si="13"/>
        <v>1.3323287882501076E-3</v>
      </c>
      <c r="L30" s="2">
        <f t="shared" si="14"/>
        <v>0</v>
      </c>
      <c r="M30" s="2">
        <f t="shared" si="9"/>
        <v>2.1042500000000002E-3</v>
      </c>
      <c r="N30" s="3">
        <f t="shared" si="15"/>
        <v>4.1987496970625267E-2</v>
      </c>
      <c r="O30" s="3">
        <f t="shared" si="10"/>
        <v>0.63</v>
      </c>
      <c r="P30" s="3">
        <f t="shared" si="16"/>
        <v>93.751744316686185</v>
      </c>
      <c r="Q30">
        <f t="shared" si="17"/>
        <v>0.42</v>
      </c>
      <c r="R30" s="3">
        <f t="shared" si="18"/>
        <v>8.9999999999999993E-3</v>
      </c>
      <c r="S30" s="1">
        <f t="shared" si="19"/>
        <v>2.9656675E-2</v>
      </c>
      <c r="T30" s="2">
        <f t="shared" si="20"/>
        <v>3.3308219706252688E-3</v>
      </c>
      <c r="U30" s="3">
        <f t="shared" si="21"/>
        <v>21.434952424757444</v>
      </c>
      <c r="V30" s="5">
        <f t="shared" si="22"/>
        <v>70.632157522388169</v>
      </c>
      <c r="W30" s="5">
        <f t="shared" si="11"/>
        <v>7.9328900528543871</v>
      </c>
    </row>
    <row r="31" spans="1:25" x14ac:dyDescent="0.25">
      <c r="A31">
        <f t="shared" si="12"/>
        <v>16</v>
      </c>
      <c r="B31">
        <f t="shared" si="0"/>
        <v>0.48</v>
      </c>
      <c r="C31" s="3">
        <f t="shared" si="1"/>
        <v>0.50123181596276722</v>
      </c>
      <c r="D31" s="2">
        <f t="shared" si="2"/>
        <v>1.5388041666666668E-2</v>
      </c>
      <c r="E31" s="2">
        <f t="shared" si="3"/>
        <v>5.6527500000000007E-3</v>
      </c>
      <c r="F31" s="2">
        <f t="shared" si="4"/>
        <v>0</v>
      </c>
      <c r="G31" s="2">
        <f t="shared" si="5"/>
        <v>1.3194133333333335E-2</v>
      </c>
      <c r="H31" s="2">
        <f t="shared" si="6"/>
        <v>1.5036954478883017E-3</v>
      </c>
      <c r="I31" s="2">
        <f t="shared" si="7"/>
        <v>7.5184772394415087E-4</v>
      </c>
      <c r="J31" s="2">
        <f t="shared" si="8"/>
        <v>0</v>
      </c>
      <c r="K31" s="2">
        <f t="shared" si="13"/>
        <v>1.5036954478883017E-3</v>
      </c>
      <c r="L31" s="2">
        <f t="shared" si="14"/>
        <v>0</v>
      </c>
      <c r="M31" s="2">
        <f t="shared" si="9"/>
        <v>2.5092500000000006E-3</v>
      </c>
      <c r="N31" s="3">
        <f t="shared" si="15"/>
        <v>4.9503413619720757E-2</v>
      </c>
      <c r="O31" s="3">
        <f t="shared" si="10"/>
        <v>0.72</v>
      </c>
      <c r="P31" s="3">
        <f t="shared" si="16"/>
        <v>93.566836385187926</v>
      </c>
      <c r="Q31">
        <f t="shared" si="17"/>
        <v>0.48</v>
      </c>
      <c r="R31" s="3">
        <f t="shared" si="18"/>
        <v>8.9999999999999993E-3</v>
      </c>
      <c r="S31" s="1">
        <f t="shared" si="19"/>
        <v>3.6744175000000004E-2</v>
      </c>
      <c r="T31" s="2">
        <f t="shared" si="20"/>
        <v>3.7592386197207541E-3</v>
      </c>
      <c r="U31" s="3">
        <f t="shared" si="21"/>
        <v>18.180564413470375</v>
      </c>
      <c r="V31" s="5">
        <f t="shared" si="22"/>
        <v>74.225537823036447</v>
      </c>
      <c r="W31" s="5">
        <f t="shared" si="11"/>
        <v>7.5938977634931817</v>
      </c>
    </row>
    <row r="32" spans="1:25" x14ac:dyDescent="0.25">
      <c r="A32">
        <f t="shared" si="12"/>
        <v>18</v>
      </c>
      <c r="B32">
        <f t="shared" si="0"/>
        <v>0.54</v>
      </c>
      <c r="C32" s="3">
        <f t="shared" si="1"/>
        <v>0.55895736271502261</v>
      </c>
      <c r="D32" s="2">
        <f t="shared" si="2"/>
        <v>1.9136541666666666E-2</v>
      </c>
      <c r="E32" s="2">
        <f t="shared" si="3"/>
        <v>7.0297499999999995E-3</v>
      </c>
      <c r="F32" s="2">
        <f t="shared" si="4"/>
        <v>0</v>
      </c>
      <c r="G32" s="2">
        <f t="shared" si="5"/>
        <v>1.5642133333333336E-2</v>
      </c>
      <c r="H32" s="2">
        <f t="shared" si="6"/>
        <v>1.6768720881450681E-3</v>
      </c>
      <c r="I32" s="2">
        <f t="shared" si="7"/>
        <v>8.3843604407253405E-4</v>
      </c>
      <c r="J32" s="2">
        <f t="shared" si="8"/>
        <v>0</v>
      </c>
      <c r="K32" s="2">
        <f t="shared" si="13"/>
        <v>1.6768720881450681E-3</v>
      </c>
      <c r="L32" s="2">
        <f t="shared" si="14"/>
        <v>0</v>
      </c>
      <c r="M32" s="2">
        <f t="shared" si="9"/>
        <v>2.9682500000000004E-3</v>
      </c>
      <c r="N32" s="3">
        <f t="shared" si="15"/>
        <v>5.7968855220362679E-2</v>
      </c>
      <c r="O32" s="3">
        <f t="shared" si="10"/>
        <v>0.81</v>
      </c>
      <c r="P32" s="3">
        <f t="shared" si="16"/>
        <v>93.321320820244708</v>
      </c>
      <c r="Q32">
        <f t="shared" si="17"/>
        <v>0.54</v>
      </c>
      <c r="R32" s="3">
        <f t="shared" si="18"/>
        <v>8.9999999999999993E-3</v>
      </c>
      <c r="S32" s="1">
        <f t="shared" si="19"/>
        <v>4.4776675000000002E-2</v>
      </c>
      <c r="T32" s="2">
        <f t="shared" si="20"/>
        <v>4.1921802203626702E-3</v>
      </c>
      <c r="U32" s="3">
        <f t="shared" si="21"/>
        <v>15.525578288181505</v>
      </c>
      <c r="V32" s="5">
        <f t="shared" si="22"/>
        <v>77.242641466328848</v>
      </c>
      <c r="W32" s="5">
        <f t="shared" si="11"/>
        <v>7.2317802454896256</v>
      </c>
    </row>
    <row r="33" spans="1:23" x14ac:dyDescent="0.25">
      <c r="A33">
        <f t="shared" si="12"/>
        <v>20</v>
      </c>
      <c r="B33">
        <f t="shared" si="0"/>
        <v>0.6</v>
      </c>
      <c r="C33" s="3">
        <f t="shared" si="1"/>
        <v>0.61711695271912059</v>
      </c>
      <c r="D33" s="2">
        <f t="shared" si="2"/>
        <v>2.3326041666666665E-2</v>
      </c>
      <c r="E33" s="2">
        <f t="shared" si="3"/>
        <v>8.56875E-3</v>
      </c>
      <c r="F33" s="2">
        <f t="shared" si="4"/>
        <v>0</v>
      </c>
      <c r="G33" s="2">
        <f t="shared" si="5"/>
        <v>1.8378133333333335E-2</v>
      </c>
      <c r="H33" s="2">
        <f t="shared" si="6"/>
        <v>1.8513508581573619E-3</v>
      </c>
      <c r="I33" s="2">
        <f t="shared" si="7"/>
        <v>9.2567542907868094E-4</v>
      </c>
      <c r="J33" s="2">
        <f t="shared" si="8"/>
        <v>0</v>
      </c>
      <c r="K33" s="2">
        <f t="shared" si="13"/>
        <v>1.8513508581573619E-3</v>
      </c>
      <c r="L33" s="2">
        <f t="shared" si="14"/>
        <v>0</v>
      </c>
      <c r="M33" s="2">
        <f t="shared" si="9"/>
        <v>3.48125E-3</v>
      </c>
      <c r="N33" s="3">
        <f t="shared" si="15"/>
        <v>6.738255214539339E-2</v>
      </c>
      <c r="O33" s="3">
        <f t="shared" si="10"/>
        <v>0.89999999999999991</v>
      </c>
      <c r="P33" s="3">
        <f t="shared" si="16"/>
        <v>93.034549569251894</v>
      </c>
      <c r="Q33">
        <f t="shared" si="17"/>
        <v>0.6</v>
      </c>
      <c r="R33" s="3">
        <f t="shared" si="18"/>
        <v>8.9999999999999993E-3</v>
      </c>
      <c r="S33" s="1">
        <f t="shared" si="19"/>
        <v>5.3754174999999994E-2</v>
      </c>
      <c r="T33" s="2">
        <f t="shared" si="20"/>
        <v>4.6283771453934051E-3</v>
      </c>
      <c r="U33" s="3">
        <f t="shared" si="21"/>
        <v>13.356573346436068</v>
      </c>
      <c r="V33" s="5">
        <f t="shared" si="22"/>
        <v>79.774620118295559</v>
      </c>
      <c r="W33" s="5">
        <f t="shared" si="11"/>
        <v>6.8688065352683809</v>
      </c>
    </row>
    <row r="34" spans="1:23" x14ac:dyDescent="0.25">
      <c r="A34">
        <f t="shared" si="12"/>
        <v>22</v>
      </c>
      <c r="B34">
        <f t="shared" si="0"/>
        <v>0.66</v>
      </c>
      <c r="C34" s="3">
        <f t="shared" si="1"/>
        <v>0.67559850009701272</v>
      </c>
      <c r="D34" s="2">
        <f t="shared" si="2"/>
        <v>2.7956541666666671E-2</v>
      </c>
      <c r="E34" s="2">
        <f t="shared" si="3"/>
        <v>1.0269749999999999E-2</v>
      </c>
      <c r="F34" s="2">
        <f t="shared" si="4"/>
        <v>0</v>
      </c>
      <c r="G34" s="2">
        <f t="shared" si="5"/>
        <v>2.1402133333333333E-2</v>
      </c>
      <c r="H34" s="2">
        <f t="shared" si="6"/>
        <v>2.0267955002910383E-3</v>
      </c>
      <c r="I34" s="2">
        <f t="shared" si="7"/>
        <v>1.0133977501455191E-3</v>
      </c>
      <c r="J34" s="2">
        <f t="shared" si="8"/>
        <v>0</v>
      </c>
      <c r="K34" s="2">
        <f t="shared" si="13"/>
        <v>2.0267955002910383E-3</v>
      </c>
      <c r="L34" s="2">
        <f t="shared" si="14"/>
        <v>0</v>
      </c>
      <c r="M34" s="2">
        <f t="shared" si="9"/>
        <v>4.0482500000000006E-3</v>
      </c>
      <c r="N34" s="3">
        <f t="shared" si="15"/>
        <v>7.7743663750727596E-2</v>
      </c>
      <c r="O34" s="3">
        <f t="shared" si="10"/>
        <v>0.99</v>
      </c>
      <c r="P34" s="3">
        <f t="shared" si="16"/>
        <v>92.718883156128257</v>
      </c>
      <c r="Q34">
        <f t="shared" si="17"/>
        <v>0.66</v>
      </c>
      <c r="R34" s="3">
        <f t="shared" si="18"/>
        <v>8.9999999999999993E-3</v>
      </c>
      <c r="S34" s="1">
        <f t="shared" si="19"/>
        <v>6.3676675000000002E-2</v>
      </c>
      <c r="T34" s="2">
        <f t="shared" si="20"/>
        <v>5.0669887507275961E-3</v>
      </c>
      <c r="U34" s="3">
        <f t="shared" si="21"/>
        <v>11.576506130270674</v>
      </c>
      <c r="V34" s="5">
        <f t="shared" si="22"/>
        <v>81.905935388083705</v>
      </c>
      <c r="W34" s="5">
        <f t="shared" si="11"/>
        <v>6.5175584816456178</v>
      </c>
    </row>
    <row r="35" spans="1:23" x14ac:dyDescent="0.25">
      <c r="A35">
        <f t="shared" si="12"/>
        <v>24</v>
      </c>
      <c r="B35">
        <f t="shared" si="0"/>
        <v>0.72</v>
      </c>
      <c r="C35" s="3">
        <f t="shared" si="1"/>
        <v>0.73432508695626986</v>
      </c>
      <c r="D35" s="2">
        <f t="shared" si="2"/>
        <v>3.302804166666666E-2</v>
      </c>
      <c r="E35" s="2">
        <f t="shared" si="3"/>
        <v>1.2132749999999998E-2</v>
      </c>
      <c r="F35" s="2">
        <f t="shared" si="4"/>
        <v>0</v>
      </c>
      <c r="G35" s="2">
        <f t="shared" si="5"/>
        <v>2.4714133333333329E-2</v>
      </c>
      <c r="H35" s="2">
        <f t="shared" si="6"/>
        <v>2.2029752608688099E-3</v>
      </c>
      <c r="I35" s="2">
        <f t="shared" si="7"/>
        <v>1.1014876304344049E-3</v>
      </c>
      <c r="J35" s="2">
        <f t="shared" si="8"/>
        <v>0</v>
      </c>
      <c r="K35" s="2">
        <f t="shared" si="13"/>
        <v>2.2029752608688099E-3</v>
      </c>
      <c r="L35" s="2">
        <f t="shared" si="14"/>
        <v>0</v>
      </c>
      <c r="M35" s="2">
        <f t="shared" si="9"/>
        <v>4.6692499999999998E-3</v>
      </c>
      <c r="N35" s="3">
        <f t="shared" si="15"/>
        <v>8.9051613152172013E-2</v>
      </c>
      <c r="O35" s="3">
        <f t="shared" si="10"/>
        <v>1.08</v>
      </c>
      <c r="P35" s="3">
        <f t="shared" si="16"/>
        <v>92.38257642773722</v>
      </c>
      <c r="Q35">
        <f t="shared" si="17"/>
        <v>0.72</v>
      </c>
      <c r="R35" s="3">
        <f t="shared" si="18"/>
        <v>8.9999999999999993E-3</v>
      </c>
      <c r="S35" s="1">
        <f t="shared" si="19"/>
        <v>7.454417499999999E-2</v>
      </c>
      <c r="T35" s="2">
        <f t="shared" si="20"/>
        <v>5.5074381521720249E-3</v>
      </c>
      <c r="U35" s="3">
        <f t="shared" si="21"/>
        <v>10.106498559010646</v>
      </c>
      <c r="V35" s="5">
        <f t="shared" si="22"/>
        <v>83.708955246681924</v>
      </c>
      <c r="W35" s="5">
        <f t="shared" si="11"/>
        <v>6.1845461943074254</v>
      </c>
    </row>
    <row r="36" spans="1:23" x14ac:dyDescent="0.25">
      <c r="A36">
        <f t="shared" si="12"/>
        <v>26</v>
      </c>
      <c r="B36">
        <f t="shared" si="0"/>
        <v>0.78</v>
      </c>
      <c r="C36" s="3">
        <f t="shared" si="1"/>
        <v>0.79324229169487259</v>
      </c>
      <c r="D36" s="2">
        <f t="shared" si="2"/>
        <v>3.8540541666666664E-2</v>
      </c>
      <c r="E36" s="2">
        <f t="shared" si="3"/>
        <v>1.415775E-2</v>
      </c>
      <c r="F36" s="2">
        <f t="shared" si="4"/>
        <v>0</v>
      </c>
      <c r="G36" s="2">
        <f t="shared" si="5"/>
        <v>2.8314133333333331E-2</v>
      </c>
      <c r="H36" s="2">
        <f t="shared" si="6"/>
        <v>2.3797268750846176E-3</v>
      </c>
      <c r="I36" s="2">
        <f t="shared" si="7"/>
        <v>1.1898634375423088E-3</v>
      </c>
      <c r="J36" s="2">
        <f t="shared" si="8"/>
        <v>0</v>
      </c>
      <c r="K36" s="2">
        <f t="shared" si="13"/>
        <v>2.3797268750846176E-3</v>
      </c>
      <c r="L36" s="2">
        <f t="shared" si="14"/>
        <v>0</v>
      </c>
      <c r="M36" s="2">
        <f t="shared" si="9"/>
        <v>5.34425E-3</v>
      </c>
      <c r="N36" s="3">
        <f t="shared" si="15"/>
        <v>0.10130599218771152</v>
      </c>
      <c r="O36" s="3">
        <f t="shared" si="10"/>
        <v>1.17</v>
      </c>
      <c r="P36" s="3">
        <f t="shared" si="16"/>
        <v>92.031344710852792</v>
      </c>
      <c r="Q36">
        <f t="shared" si="17"/>
        <v>0.78</v>
      </c>
      <c r="R36" s="3">
        <f t="shared" si="18"/>
        <v>8.9999999999999993E-3</v>
      </c>
      <c r="S36" s="1">
        <f t="shared" si="19"/>
        <v>8.6356674999999994E-2</v>
      </c>
      <c r="T36" s="2">
        <f t="shared" si="20"/>
        <v>5.9493171877115433E-3</v>
      </c>
      <c r="U36" s="3">
        <f t="shared" si="21"/>
        <v>8.8839759679010424</v>
      </c>
      <c r="V36" s="5">
        <f t="shared" si="22"/>
        <v>85.243402818648974</v>
      </c>
      <c r="W36" s="5">
        <f t="shared" si="11"/>
        <v>5.8726212134499969</v>
      </c>
    </row>
    <row r="37" spans="1:23" x14ac:dyDescent="0.25">
      <c r="A37">
        <f t="shared" si="12"/>
        <v>28</v>
      </c>
      <c r="B37">
        <f t="shared" si="0"/>
        <v>0.84</v>
      </c>
      <c r="C37" s="3">
        <f t="shared" si="1"/>
        <v>0.85231058501776991</v>
      </c>
      <c r="D37" s="2">
        <f t="shared" si="2"/>
        <v>4.4494041666666651E-2</v>
      </c>
      <c r="E37" s="2">
        <f t="shared" si="3"/>
        <v>1.6344749999999998E-2</v>
      </c>
      <c r="F37" s="2">
        <f t="shared" si="4"/>
        <v>0</v>
      </c>
      <c r="G37" s="2">
        <f t="shared" si="5"/>
        <v>3.2202133333333327E-2</v>
      </c>
      <c r="H37" s="2">
        <f t="shared" si="6"/>
        <v>2.5569317550533099E-3</v>
      </c>
      <c r="I37" s="2">
        <f t="shared" si="7"/>
        <v>1.278465877526655E-3</v>
      </c>
      <c r="J37" s="2">
        <f t="shared" si="8"/>
        <v>0</v>
      </c>
      <c r="K37" s="2">
        <f t="shared" si="13"/>
        <v>2.5569317550533099E-3</v>
      </c>
      <c r="L37" s="2">
        <f t="shared" si="14"/>
        <v>0</v>
      </c>
      <c r="M37" s="2">
        <f t="shared" si="9"/>
        <v>6.0732499999999997E-3</v>
      </c>
      <c r="N37" s="3">
        <f t="shared" si="15"/>
        <v>0.11450650438763324</v>
      </c>
      <c r="O37" s="3">
        <f t="shared" si="10"/>
        <v>1.26</v>
      </c>
      <c r="P37" s="3">
        <f t="shared" si="16"/>
        <v>91.669264276152134</v>
      </c>
      <c r="Q37">
        <f t="shared" si="17"/>
        <v>0.84</v>
      </c>
      <c r="R37" s="3">
        <f t="shared" si="18"/>
        <v>8.9999999999999993E-3</v>
      </c>
      <c r="S37" s="1">
        <f t="shared" si="19"/>
        <v>9.9114174999999971E-2</v>
      </c>
      <c r="T37" s="2">
        <f t="shared" si="20"/>
        <v>6.3923293876332749E-3</v>
      </c>
      <c r="U37" s="3">
        <f t="shared" si="21"/>
        <v>7.85981551714542</v>
      </c>
      <c r="V37" s="5">
        <f t="shared" si="22"/>
        <v>86.557681181562955</v>
      </c>
      <c r="W37" s="5">
        <f t="shared" si="11"/>
        <v>5.5825033012916334</v>
      </c>
    </row>
    <row r="38" spans="1:23" x14ac:dyDescent="0.25">
      <c r="A38">
        <f t="shared" si="12"/>
        <v>30</v>
      </c>
      <c r="B38">
        <f t="shared" si="0"/>
        <v>0.9</v>
      </c>
      <c r="C38" s="3">
        <f t="shared" si="1"/>
        <v>0.9115005942583545</v>
      </c>
      <c r="D38" s="2">
        <f t="shared" si="2"/>
        <v>5.0888541666666676E-2</v>
      </c>
      <c r="E38" s="2">
        <f t="shared" si="3"/>
        <v>1.8693750000000002E-2</v>
      </c>
      <c r="F38" s="2">
        <f t="shared" si="4"/>
        <v>0</v>
      </c>
      <c r="G38" s="2">
        <f t="shared" si="5"/>
        <v>3.637813333333334E-2</v>
      </c>
      <c r="H38" s="2">
        <f t="shared" si="6"/>
        <v>2.7345017827750634E-3</v>
      </c>
      <c r="I38" s="2">
        <f t="shared" si="7"/>
        <v>1.3672508913875317E-3</v>
      </c>
      <c r="J38" s="2">
        <f t="shared" si="8"/>
        <v>0</v>
      </c>
      <c r="K38" s="2">
        <f t="shared" si="13"/>
        <v>2.7345017827750634E-3</v>
      </c>
      <c r="L38" s="2">
        <f t="shared" si="14"/>
        <v>0</v>
      </c>
      <c r="M38" s="2">
        <f t="shared" si="9"/>
        <v>6.8562499999999995E-3</v>
      </c>
      <c r="N38" s="3">
        <f t="shared" si="15"/>
        <v>0.12865292945693768</v>
      </c>
      <c r="O38" s="3">
        <f t="shared" si="10"/>
        <v>1.35</v>
      </c>
      <c r="P38" s="3">
        <f t="shared" si="16"/>
        <v>91.299315282580366</v>
      </c>
      <c r="Q38">
        <f t="shared" si="17"/>
        <v>0.9</v>
      </c>
      <c r="R38" s="3">
        <f t="shared" si="18"/>
        <v>8.9999999999999993E-3</v>
      </c>
      <c r="S38" s="1">
        <f t="shared" si="19"/>
        <v>0.11281667500000002</v>
      </c>
      <c r="T38" s="2">
        <f t="shared" si="20"/>
        <v>6.8362544569376578E-3</v>
      </c>
      <c r="U38" s="3">
        <f t="shared" si="21"/>
        <v>6.9955655405518407</v>
      </c>
      <c r="V38" s="5">
        <f t="shared" si="22"/>
        <v>87.690716003292934</v>
      </c>
      <c r="W38" s="5">
        <f t="shared" si="11"/>
        <v>5.3137184561552235</v>
      </c>
    </row>
    <row r="39" spans="1:23" x14ac:dyDescent="0.25">
      <c r="A39">
        <f t="shared" si="12"/>
        <v>32</v>
      </c>
      <c r="B39">
        <f t="shared" si="0"/>
        <v>0.96</v>
      </c>
      <c r="C39" s="3">
        <f t="shared" si="1"/>
        <v>0.97079005626002024</v>
      </c>
      <c r="D39" s="2">
        <f t="shared" si="2"/>
        <v>5.7724041666666649E-2</v>
      </c>
      <c r="E39" s="2">
        <f t="shared" si="3"/>
        <v>2.1204749999999998E-2</v>
      </c>
      <c r="F39" s="2">
        <f t="shared" si="4"/>
        <v>0</v>
      </c>
      <c r="G39" s="2">
        <f t="shared" si="5"/>
        <v>4.0842133333333336E-2</v>
      </c>
      <c r="H39" s="2">
        <f t="shared" si="6"/>
        <v>2.9123701687800612E-3</v>
      </c>
      <c r="I39" s="2">
        <f t="shared" si="7"/>
        <v>1.4561850843900306E-3</v>
      </c>
      <c r="J39" s="2">
        <f t="shared" si="8"/>
        <v>0</v>
      </c>
      <c r="K39" s="2">
        <f t="shared" si="13"/>
        <v>2.9123701687800612E-3</v>
      </c>
      <c r="L39" s="2">
        <f t="shared" si="14"/>
        <v>0</v>
      </c>
      <c r="M39" s="2">
        <f t="shared" si="9"/>
        <v>7.6932499999999996E-3</v>
      </c>
      <c r="N39" s="3">
        <f t="shared" si="15"/>
        <v>0.14374510042195016</v>
      </c>
      <c r="O39" s="3">
        <f t="shared" si="10"/>
        <v>1.44</v>
      </c>
      <c r="P39" s="3">
        <f t="shared" si="16"/>
        <v>90.923722486424566</v>
      </c>
      <c r="Q39">
        <f t="shared" si="17"/>
        <v>0.96</v>
      </c>
      <c r="R39" s="3">
        <f t="shared" si="18"/>
        <v>8.9999999999999993E-3</v>
      </c>
      <c r="S39" s="1">
        <f t="shared" si="19"/>
        <v>0.12746417499999999</v>
      </c>
      <c r="T39" s="2">
        <f t="shared" si="20"/>
        <v>7.2809254219501534E-3</v>
      </c>
      <c r="U39" s="3">
        <f t="shared" si="21"/>
        <v>6.2610829681021123</v>
      </c>
      <c r="V39" s="5">
        <f t="shared" si="22"/>
        <v>88.673752792854117</v>
      </c>
      <c r="W39" s="5">
        <f t="shared" si="11"/>
        <v>5.0651642390437557</v>
      </c>
    </row>
    <row r="40" spans="1:23" x14ac:dyDescent="0.25">
      <c r="A40">
        <f t="shared" si="12"/>
        <v>34</v>
      </c>
      <c r="B40">
        <f t="shared" si="0"/>
        <v>1.02</v>
      </c>
      <c r="C40" s="3">
        <f t="shared" si="1"/>
        <v>1.0301617995894301</v>
      </c>
      <c r="D40" s="2">
        <f t="shared" si="2"/>
        <v>6.5000541666666661E-2</v>
      </c>
      <c r="E40" s="2">
        <f t="shared" si="3"/>
        <v>2.387775E-2</v>
      </c>
      <c r="F40" s="2">
        <f t="shared" si="4"/>
        <v>0</v>
      </c>
      <c r="G40" s="2">
        <f t="shared" si="5"/>
        <v>4.5594133333333335E-2</v>
      </c>
      <c r="H40" s="2">
        <f t="shared" si="6"/>
        <v>3.0904853987682905E-3</v>
      </c>
      <c r="I40" s="2">
        <f t="shared" si="7"/>
        <v>1.5452426993841453E-3</v>
      </c>
      <c r="J40" s="2">
        <f t="shared" si="8"/>
        <v>0</v>
      </c>
      <c r="K40" s="2">
        <f t="shared" si="13"/>
        <v>3.0904853987682905E-3</v>
      </c>
      <c r="L40" s="2">
        <f t="shared" si="14"/>
        <v>0</v>
      </c>
      <c r="M40" s="2">
        <f t="shared" si="9"/>
        <v>8.5842499999999999E-3</v>
      </c>
      <c r="N40" s="3">
        <f t="shared" si="15"/>
        <v>0.15978288849692074</v>
      </c>
      <c r="O40" s="3">
        <f t="shared" si="10"/>
        <v>1.53</v>
      </c>
      <c r="P40" s="3">
        <f t="shared" si="16"/>
        <v>90.54417643919632</v>
      </c>
      <c r="Q40">
        <f t="shared" si="17"/>
        <v>1.02</v>
      </c>
      <c r="R40" s="3">
        <f t="shared" si="18"/>
        <v>8.9999999999999993E-3</v>
      </c>
      <c r="S40" s="1">
        <f t="shared" si="19"/>
        <v>0.14305667499999999</v>
      </c>
      <c r="T40" s="2">
        <f t="shared" si="20"/>
        <v>7.7262134969207268E-3</v>
      </c>
      <c r="U40" s="3">
        <f t="shared" si="21"/>
        <v>5.6326431976935023</v>
      </c>
      <c r="V40" s="5">
        <f t="shared" si="22"/>
        <v>89.531911924822239</v>
      </c>
      <c r="W40" s="5">
        <f t="shared" si="11"/>
        <v>4.8354448774842513</v>
      </c>
    </row>
    <row r="41" spans="1:23" x14ac:dyDescent="0.25">
      <c r="A41">
        <f t="shared" si="12"/>
        <v>36</v>
      </c>
      <c r="B41">
        <f t="shared" si="0"/>
        <v>1.08</v>
      </c>
      <c r="C41" s="3">
        <f t="shared" si="1"/>
        <v>1.0896023739572769</v>
      </c>
      <c r="D41" s="2">
        <f t="shared" si="2"/>
        <v>7.2718041666666663E-2</v>
      </c>
      <c r="E41" s="2">
        <f t="shared" si="3"/>
        <v>2.671275E-2</v>
      </c>
      <c r="F41" s="2">
        <f t="shared" si="4"/>
        <v>0</v>
      </c>
      <c r="G41" s="2">
        <f t="shared" si="5"/>
        <v>5.0634133333333338E-2</v>
      </c>
      <c r="H41" s="2">
        <f t="shared" si="6"/>
        <v>3.2688071218718306E-3</v>
      </c>
      <c r="I41" s="2">
        <f t="shared" si="7"/>
        <v>1.6344035609359153E-3</v>
      </c>
      <c r="J41" s="2">
        <f t="shared" si="8"/>
        <v>0</v>
      </c>
      <c r="K41" s="2">
        <f t="shared" si="13"/>
        <v>3.2688071218718306E-3</v>
      </c>
      <c r="L41" s="2">
        <f t="shared" si="14"/>
        <v>0</v>
      </c>
      <c r="M41" s="2">
        <f t="shared" si="9"/>
        <v>9.5292500000000013E-3</v>
      </c>
      <c r="N41" s="3">
        <f t="shared" si="15"/>
        <v>0.17676619280467956</v>
      </c>
      <c r="O41" s="3">
        <f t="shared" si="10"/>
        <v>1.62</v>
      </c>
      <c r="P41" s="3">
        <f t="shared" si="16"/>
        <v>90.161981368941795</v>
      </c>
      <c r="Q41">
        <f t="shared" si="17"/>
        <v>1.08</v>
      </c>
      <c r="R41" s="3">
        <f t="shared" si="18"/>
        <v>8.9999999999999993E-3</v>
      </c>
      <c r="S41" s="1">
        <f t="shared" si="19"/>
        <v>0.15959417499999998</v>
      </c>
      <c r="T41" s="2">
        <f t="shared" si="20"/>
        <v>8.1720178046795766E-3</v>
      </c>
      <c r="U41" s="3">
        <f t="shared" si="21"/>
        <v>5.0914713142827503</v>
      </c>
      <c r="V41" s="5">
        <f t="shared" si="22"/>
        <v>90.285462659902365</v>
      </c>
      <c r="W41" s="5">
        <f t="shared" si="11"/>
        <v>4.623066025814885</v>
      </c>
    </row>
    <row r="42" spans="1:23" x14ac:dyDescent="0.25">
      <c r="A42">
        <f t="shared" si="12"/>
        <v>38</v>
      </c>
      <c r="B42">
        <f t="shared" si="0"/>
        <v>1.1399999999999999</v>
      </c>
      <c r="C42" s="3">
        <f t="shared" si="1"/>
        <v>1.1491010979601983</v>
      </c>
      <c r="D42" s="2">
        <f t="shared" si="2"/>
        <v>8.0876541666666663E-2</v>
      </c>
      <c r="E42" s="2">
        <f t="shared" si="3"/>
        <v>2.970975E-2</v>
      </c>
      <c r="F42" s="2">
        <f t="shared" si="4"/>
        <v>0</v>
      </c>
      <c r="G42" s="2">
        <f t="shared" si="5"/>
        <v>5.5962133333333337E-2</v>
      </c>
      <c r="H42" s="2">
        <f t="shared" si="6"/>
        <v>3.4473032938805953E-3</v>
      </c>
      <c r="I42" s="2">
        <f t="shared" si="7"/>
        <v>1.7236516469402976E-3</v>
      </c>
      <c r="J42" s="2">
        <f t="shared" si="8"/>
        <v>0</v>
      </c>
      <c r="K42" s="2">
        <f t="shared" si="13"/>
        <v>3.4473032938805953E-3</v>
      </c>
      <c r="L42" s="2">
        <f t="shared" si="14"/>
        <v>0</v>
      </c>
      <c r="M42" s="2">
        <f t="shared" si="9"/>
        <v>1.0528250000000001E-2</v>
      </c>
      <c r="N42" s="3">
        <f t="shared" si="15"/>
        <v>0.19469493323470149</v>
      </c>
      <c r="O42" s="3">
        <f t="shared" si="10"/>
        <v>1.71</v>
      </c>
      <c r="P42" s="3">
        <f t="shared" si="16"/>
        <v>89.778156604635086</v>
      </c>
      <c r="Q42">
        <f t="shared" si="17"/>
        <v>1.1399999999999999</v>
      </c>
      <c r="R42" s="3">
        <f t="shared" si="18"/>
        <v>8.9999999999999993E-3</v>
      </c>
      <c r="S42" s="1">
        <f t="shared" si="19"/>
        <v>0.17707667499999999</v>
      </c>
      <c r="T42" s="2">
        <f t="shared" si="20"/>
        <v>8.6182582347014876E-3</v>
      </c>
      <c r="U42" s="3">
        <f t="shared" si="21"/>
        <v>4.622616444337897</v>
      </c>
      <c r="V42" s="5">
        <f t="shared" si="22"/>
        <v>90.950838862630818</v>
      </c>
      <c r="W42" s="5">
        <f t="shared" si="11"/>
        <v>4.4265446930312873</v>
      </c>
    </row>
    <row r="43" spans="1:23" x14ac:dyDescent="0.25">
      <c r="A43">
        <f t="shared" si="12"/>
        <v>40</v>
      </c>
      <c r="B43">
        <f t="shared" si="0"/>
        <v>1.2</v>
      </c>
      <c r="C43" s="3">
        <f t="shared" si="1"/>
        <v>1.2086493839543928</v>
      </c>
      <c r="D43" s="2">
        <f t="shared" si="2"/>
        <v>8.9476041666666659E-2</v>
      </c>
      <c r="E43" s="2">
        <f t="shared" si="3"/>
        <v>3.2868749999999995E-2</v>
      </c>
      <c r="F43" s="2">
        <f t="shared" si="4"/>
        <v>0</v>
      </c>
      <c r="G43" s="2">
        <f t="shared" si="5"/>
        <v>6.1578133333333333E-2</v>
      </c>
      <c r="H43" s="2">
        <f t="shared" si="6"/>
        <v>3.6259481518631778E-3</v>
      </c>
      <c r="I43" s="2">
        <f t="shared" si="7"/>
        <v>1.8129740759315889E-3</v>
      </c>
      <c r="J43" s="2">
        <f t="shared" si="8"/>
        <v>0</v>
      </c>
      <c r="K43" s="2">
        <f t="shared" si="13"/>
        <v>3.6259481518631778E-3</v>
      </c>
      <c r="L43" s="2">
        <f t="shared" si="14"/>
        <v>0</v>
      </c>
      <c r="M43" s="2">
        <f t="shared" si="9"/>
        <v>1.158125E-2</v>
      </c>
      <c r="N43" s="3">
        <f t="shared" si="15"/>
        <v>0.21356904537965793</v>
      </c>
      <c r="O43" s="3">
        <f t="shared" si="10"/>
        <v>1.7999999999999998</v>
      </c>
      <c r="P43" s="3">
        <f t="shared" si="16"/>
        <v>89.393507718560031</v>
      </c>
      <c r="Q43">
        <f t="shared" si="17"/>
        <v>1.2</v>
      </c>
      <c r="R43" s="3">
        <f t="shared" si="18"/>
        <v>8.9999999999999993E-3</v>
      </c>
      <c r="S43" s="1">
        <f t="shared" si="19"/>
        <v>0.19550417499999997</v>
      </c>
      <c r="T43" s="2">
        <f t="shared" si="20"/>
        <v>9.0648703796579432E-3</v>
      </c>
      <c r="U43" s="3">
        <f t="shared" si="21"/>
        <v>4.2140938467936015</v>
      </c>
      <c r="V43" s="5">
        <f t="shared" si="22"/>
        <v>91.541437876662158</v>
      </c>
      <c r="W43" s="5">
        <f t="shared" si="11"/>
        <v>4.244468276544235</v>
      </c>
    </row>
    <row r="44" spans="1:23" x14ac:dyDescent="0.25">
      <c r="A44">
        <f t="shared" si="12"/>
        <v>42</v>
      </c>
      <c r="B44">
        <f t="shared" si="0"/>
        <v>1.26</v>
      </c>
      <c r="C44" s="3">
        <f t="shared" si="1"/>
        <v>1.2682402506360273</v>
      </c>
      <c r="D44" s="2">
        <f t="shared" si="2"/>
        <v>9.8516541666666665E-2</v>
      </c>
      <c r="E44" s="2">
        <f t="shared" si="3"/>
        <v>3.6189750000000007E-2</v>
      </c>
      <c r="F44" s="2">
        <f t="shared" si="4"/>
        <v>0</v>
      </c>
      <c r="G44" s="2">
        <f t="shared" si="5"/>
        <v>6.7482133333333333E-2</v>
      </c>
      <c r="H44" s="2">
        <f t="shared" si="6"/>
        <v>3.8047207519080824E-3</v>
      </c>
      <c r="I44" s="2">
        <f t="shared" si="7"/>
        <v>1.9023603759540412E-3</v>
      </c>
      <c r="J44" s="2">
        <f t="shared" si="8"/>
        <v>0</v>
      </c>
      <c r="K44" s="2">
        <f t="shared" si="13"/>
        <v>3.8047207519080824E-3</v>
      </c>
      <c r="L44" s="2">
        <f t="shared" si="14"/>
        <v>0</v>
      </c>
      <c r="M44" s="2">
        <f t="shared" si="9"/>
        <v>1.268825E-2</v>
      </c>
      <c r="N44" s="3">
        <f t="shared" si="15"/>
        <v>0.23338847687977021</v>
      </c>
      <c r="O44" s="3">
        <f t="shared" si="10"/>
        <v>1.8900000000000001</v>
      </c>
      <c r="P44" s="3">
        <f t="shared" si="16"/>
        <v>89.008677431332558</v>
      </c>
      <c r="Q44">
        <f t="shared" si="17"/>
        <v>1.26</v>
      </c>
      <c r="R44" s="3">
        <f t="shared" si="18"/>
        <v>8.9999999999999993E-3</v>
      </c>
      <c r="S44" s="1">
        <f t="shared" si="19"/>
        <v>0.21487667500000002</v>
      </c>
      <c r="T44" s="2">
        <f t="shared" si="20"/>
        <v>9.5118018797702066E-3</v>
      </c>
      <c r="U44" s="3">
        <f t="shared" si="21"/>
        <v>3.8562315159356979</v>
      </c>
      <c r="V44" s="5">
        <f t="shared" si="22"/>
        <v>92.068245130496933</v>
      </c>
      <c r="W44" s="5">
        <f t="shared" si="11"/>
        <v>4.0755233535673652</v>
      </c>
    </row>
    <row r="45" spans="1:23" x14ac:dyDescent="0.25">
      <c r="A45">
        <f t="shared" si="12"/>
        <v>44</v>
      </c>
      <c r="B45">
        <f t="shared" si="0"/>
        <v>1.32</v>
      </c>
      <c r="C45" s="3">
        <f t="shared" si="1"/>
        <v>1.3278679653238621</v>
      </c>
      <c r="D45" s="2">
        <f t="shared" si="2"/>
        <v>0.10799804166666666</v>
      </c>
      <c r="E45" s="2">
        <f t="shared" si="3"/>
        <v>3.967275E-2</v>
      </c>
      <c r="F45" s="2">
        <f t="shared" si="4"/>
        <v>0</v>
      </c>
      <c r="G45" s="2">
        <f t="shared" si="5"/>
        <v>7.3674133333333336E-2</v>
      </c>
      <c r="H45" s="2">
        <f t="shared" si="6"/>
        <v>3.9836038959715873E-3</v>
      </c>
      <c r="I45" s="2">
        <f t="shared" si="7"/>
        <v>1.9918019479857937E-3</v>
      </c>
      <c r="J45" s="2">
        <f t="shared" si="8"/>
        <v>0</v>
      </c>
      <c r="K45" s="2">
        <f t="shared" si="13"/>
        <v>3.9836038959715873E-3</v>
      </c>
      <c r="L45" s="2">
        <f t="shared" si="14"/>
        <v>0</v>
      </c>
      <c r="M45" s="2">
        <f t="shared" si="9"/>
        <v>1.3849250000000002E-2</v>
      </c>
      <c r="N45" s="3">
        <f t="shared" si="15"/>
        <v>0.25415318473992893</v>
      </c>
      <c r="O45" s="3">
        <f t="shared" si="10"/>
        <v>1.98</v>
      </c>
      <c r="P45" s="3">
        <f t="shared" si="16"/>
        <v>88.624182689177871</v>
      </c>
      <c r="Q45">
        <f t="shared" si="17"/>
        <v>1.32</v>
      </c>
      <c r="R45" s="3">
        <f t="shared" si="18"/>
        <v>8.9999999999999993E-3</v>
      </c>
      <c r="S45" s="1">
        <f t="shared" si="19"/>
        <v>0.23519417500000001</v>
      </c>
      <c r="T45" s="2">
        <f t="shared" si="20"/>
        <v>9.9590097399289684E-3</v>
      </c>
      <c r="U45" s="3">
        <f t="shared" si="21"/>
        <v>3.5411714432024772</v>
      </c>
      <c r="V45" s="5">
        <f t="shared" si="22"/>
        <v>92.540321790840679</v>
      </c>
      <c r="W45" s="5">
        <f t="shared" si="11"/>
        <v>3.9185067659568662</v>
      </c>
    </row>
    <row r="46" spans="1:23" x14ac:dyDescent="0.25">
      <c r="A46">
        <f t="shared" si="12"/>
        <v>46</v>
      </c>
      <c r="B46">
        <f t="shared" si="0"/>
        <v>1.38</v>
      </c>
      <c r="C46" s="3">
        <f t="shared" si="1"/>
        <v>1.3875277774997274</v>
      </c>
      <c r="D46" s="2">
        <f t="shared" si="2"/>
        <v>0.11792054166666667</v>
      </c>
      <c r="E46" s="2">
        <f t="shared" si="3"/>
        <v>4.3317749999999995E-2</v>
      </c>
      <c r="F46" s="2">
        <f t="shared" si="4"/>
        <v>0</v>
      </c>
      <c r="G46" s="2">
        <f t="shared" si="5"/>
        <v>8.0154133333333336E-2</v>
      </c>
      <c r="H46" s="2">
        <f t="shared" si="6"/>
        <v>4.1625833324991828E-3</v>
      </c>
      <c r="I46" s="2">
        <f t="shared" si="7"/>
        <v>2.0812916662495914E-3</v>
      </c>
      <c r="J46" s="2">
        <f t="shared" si="8"/>
        <v>0</v>
      </c>
      <c r="K46" s="2">
        <f t="shared" si="13"/>
        <v>4.1625833324991828E-3</v>
      </c>
      <c r="L46" s="2">
        <f t="shared" si="14"/>
        <v>0</v>
      </c>
      <c r="M46" s="2">
        <f t="shared" si="9"/>
        <v>1.5064249999999998E-2</v>
      </c>
      <c r="N46" s="3">
        <f t="shared" si="15"/>
        <v>0.27586313333124801</v>
      </c>
      <c r="O46" s="3">
        <f t="shared" si="10"/>
        <v>2.0699999999999998</v>
      </c>
      <c r="P46" s="3">
        <f t="shared" si="16"/>
        <v>88.240442103733983</v>
      </c>
      <c r="Q46">
        <f t="shared" si="17"/>
        <v>1.38</v>
      </c>
      <c r="R46" s="3">
        <f t="shared" si="18"/>
        <v>8.9999999999999993E-3</v>
      </c>
      <c r="S46" s="1">
        <f t="shared" si="19"/>
        <v>0.25645667500000002</v>
      </c>
      <c r="T46" s="2">
        <f t="shared" si="20"/>
        <v>1.0406458331247957E-2</v>
      </c>
      <c r="U46" s="3">
        <f t="shared" si="21"/>
        <v>3.2624874122607297</v>
      </c>
      <c r="V46" s="5">
        <f t="shared" si="22"/>
        <v>92.965185997526788</v>
      </c>
      <c r="W46" s="5">
        <f t="shared" si="11"/>
        <v>3.7723265902124727</v>
      </c>
    </row>
    <row r="47" spans="1:23" x14ac:dyDescent="0.25">
      <c r="A47">
        <f t="shared" si="12"/>
        <v>48</v>
      </c>
      <c r="B47">
        <f t="shared" si="0"/>
        <v>1.44</v>
      </c>
      <c r="C47" s="3">
        <f t="shared" si="1"/>
        <v>1.4472157176224052</v>
      </c>
      <c r="D47" s="2">
        <f t="shared" si="2"/>
        <v>0.12828404166666665</v>
      </c>
      <c r="E47" s="2">
        <f t="shared" si="3"/>
        <v>4.712475E-2</v>
      </c>
      <c r="F47" s="2">
        <f t="shared" si="4"/>
        <v>0</v>
      </c>
      <c r="G47" s="2">
        <f t="shared" si="5"/>
        <v>8.6922133333333346E-2</v>
      </c>
      <c r="H47" s="2">
        <f t="shared" si="6"/>
        <v>4.341647152867216E-3</v>
      </c>
      <c r="I47" s="2">
        <f t="shared" si="7"/>
        <v>2.170823576433608E-3</v>
      </c>
      <c r="J47" s="2">
        <f t="shared" si="8"/>
        <v>0</v>
      </c>
      <c r="K47" s="2">
        <f t="shared" si="13"/>
        <v>4.341647152867216E-3</v>
      </c>
      <c r="L47" s="2">
        <f t="shared" si="14"/>
        <v>0</v>
      </c>
      <c r="M47" s="2">
        <f t="shared" si="9"/>
        <v>1.6333250000000001E-2</v>
      </c>
      <c r="N47" s="3">
        <f t="shared" si="15"/>
        <v>0.29851829288216808</v>
      </c>
      <c r="O47" s="3">
        <f t="shared" si="10"/>
        <v>2.16</v>
      </c>
      <c r="P47" s="3">
        <f t="shared" si="16"/>
        <v>87.857796553866223</v>
      </c>
      <c r="Q47">
        <f t="shared" si="17"/>
        <v>1.44</v>
      </c>
      <c r="R47" s="3">
        <f t="shared" si="18"/>
        <v>8.9999999999999993E-3</v>
      </c>
      <c r="S47" s="1">
        <f t="shared" si="19"/>
        <v>0.27866417500000001</v>
      </c>
      <c r="T47" s="2">
        <f t="shared" si="20"/>
        <v>1.085411788216804E-2</v>
      </c>
      <c r="U47" s="3">
        <f t="shared" si="21"/>
        <v>3.0148906162854492</v>
      </c>
      <c r="V47" s="5">
        <f t="shared" si="22"/>
        <v>93.349111811380709</v>
      </c>
      <c r="W47" s="5">
        <f t="shared" si="11"/>
        <v>3.6359975723338356</v>
      </c>
    </row>
    <row r="48" spans="1:23" x14ac:dyDescent="0.25">
      <c r="A48">
        <f t="shared" si="12"/>
        <v>50</v>
      </c>
      <c r="B48">
        <f t="shared" si="0"/>
        <v>1.5</v>
      </c>
      <c r="C48" s="3">
        <f t="shared" si="1"/>
        <v>1.5069284433354271</v>
      </c>
      <c r="D48" s="2">
        <f t="shared" si="2"/>
        <v>0.13908854166666668</v>
      </c>
      <c r="E48" s="2">
        <f t="shared" si="3"/>
        <v>5.109375E-2</v>
      </c>
      <c r="F48" s="2">
        <f t="shared" si="4"/>
        <v>0</v>
      </c>
      <c r="G48" s="2">
        <f t="shared" si="5"/>
        <v>9.3978133333333339E-2</v>
      </c>
      <c r="H48" s="2">
        <f t="shared" si="6"/>
        <v>4.5207853300062804E-3</v>
      </c>
      <c r="I48" s="2">
        <f t="shared" si="7"/>
        <v>2.2603926650031402E-3</v>
      </c>
      <c r="J48" s="2">
        <f t="shared" si="8"/>
        <v>0</v>
      </c>
      <c r="K48" s="2">
        <f t="shared" si="13"/>
        <v>4.5207853300062804E-3</v>
      </c>
      <c r="L48" s="2">
        <f t="shared" si="14"/>
        <v>0</v>
      </c>
      <c r="M48" s="2">
        <f t="shared" si="9"/>
        <v>1.7656250000000002E-2</v>
      </c>
      <c r="N48" s="3">
        <f t="shared" si="15"/>
        <v>0.32211863832501569</v>
      </c>
      <c r="O48" s="3">
        <f t="shared" si="10"/>
        <v>2.25</v>
      </c>
      <c r="P48" s="3">
        <f t="shared" si="16"/>
        <v>87.476524856770141</v>
      </c>
      <c r="Q48">
        <f t="shared" si="17"/>
        <v>1.5</v>
      </c>
      <c r="R48" s="3">
        <f t="shared" si="18"/>
        <v>8.9999999999999993E-3</v>
      </c>
      <c r="S48" s="1">
        <f t="shared" si="19"/>
        <v>0.30181667499999998</v>
      </c>
      <c r="T48" s="2">
        <f t="shared" si="20"/>
        <v>1.13019633250157E-2</v>
      </c>
      <c r="U48" s="3">
        <f t="shared" si="21"/>
        <v>2.7940016283438571</v>
      </c>
      <c r="V48" s="5">
        <f t="shared" si="22"/>
        <v>93.697364601258755</v>
      </c>
      <c r="W48" s="5">
        <f t="shared" si="11"/>
        <v>3.5086337703973807</v>
      </c>
    </row>
    <row r="49" spans="1:23" x14ac:dyDescent="0.25">
      <c r="A49">
        <f t="shared" si="12"/>
        <v>52</v>
      </c>
      <c r="B49">
        <f t="shared" si="0"/>
        <v>1.56</v>
      </c>
      <c r="C49" s="3">
        <f t="shared" si="1"/>
        <v>1.5666631205633628</v>
      </c>
      <c r="D49" s="2">
        <f t="shared" si="2"/>
        <v>0.15033404166666667</v>
      </c>
      <c r="E49" s="2">
        <f t="shared" si="3"/>
        <v>5.522475000000001E-2</v>
      </c>
      <c r="F49" s="2">
        <f t="shared" si="4"/>
        <v>0</v>
      </c>
      <c r="G49" s="2">
        <f t="shared" si="5"/>
        <v>0.10132213333333336</v>
      </c>
      <c r="H49" s="2">
        <f t="shared" si="6"/>
        <v>4.6999893616900875E-3</v>
      </c>
      <c r="I49" s="2">
        <f t="shared" si="7"/>
        <v>2.3499946808450438E-3</v>
      </c>
      <c r="J49" s="2">
        <f t="shared" si="8"/>
        <v>0</v>
      </c>
      <c r="K49" s="2">
        <f t="shared" si="13"/>
        <v>4.6999893616900875E-3</v>
      </c>
      <c r="L49" s="2">
        <f t="shared" si="14"/>
        <v>0</v>
      </c>
      <c r="M49" s="2">
        <f t="shared" si="9"/>
        <v>1.9033250000000002E-2</v>
      </c>
      <c r="N49" s="3">
        <f t="shared" si="15"/>
        <v>0.34666414840422527</v>
      </c>
      <c r="O49" s="3">
        <f t="shared" si="10"/>
        <v>2.34</v>
      </c>
      <c r="P49" s="3">
        <f t="shared" si="16"/>
        <v>87.096855831044962</v>
      </c>
      <c r="Q49">
        <f t="shared" si="17"/>
        <v>1.56</v>
      </c>
      <c r="R49" s="3">
        <f t="shared" si="18"/>
        <v>8.9999999999999993E-3</v>
      </c>
      <c r="S49" s="1">
        <f t="shared" si="19"/>
        <v>0.32591417500000003</v>
      </c>
      <c r="T49" s="2">
        <f t="shared" si="20"/>
        <v>1.174997340422522E-2</v>
      </c>
      <c r="U49" s="3">
        <f t="shared" si="21"/>
        <v>2.5961727053198511</v>
      </c>
      <c r="V49" s="5">
        <f t="shared" si="22"/>
        <v>94.014387267981959</v>
      </c>
      <c r="W49" s="5">
        <f t="shared" si="11"/>
        <v>3.3894400266981881</v>
      </c>
    </row>
    <row r="50" spans="1:23" x14ac:dyDescent="0.25">
      <c r="A50">
        <f t="shared" si="12"/>
        <v>54</v>
      </c>
      <c r="B50">
        <f t="shared" si="0"/>
        <v>1.62</v>
      </c>
      <c r="C50" s="3">
        <f t="shared" si="1"/>
        <v>1.6264173306176166</v>
      </c>
      <c r="D50" s="2">
        <f t="shared" si="2"/>
        <v>0.16202054166666671</v>
      </c>
      <c r="E50" s="2">
        <f t="shared" si="3"/>
        <v>5.9517750000000008E-2</v>
      </c>
      <c r="F50" s="2">
        <f t="shared" si="4"/>
        <v>0</v>
      </c>
      <c r="G50" s="2">
        <f t="shared" si="5"/>
        <v>0.10895413333333334</v>
      </c>
      <c r="H50" s="2">
        <f t="shared" si="6"/>
        <v>4.8792519918528492E-3</v>
      </c>
      <c r="I50" s="2">
        <f t="shared" si="7"/>
        <v>2.4396259959264246E-3</v>
      </c>
      <c r="J50" s="2">
        <f t="shared" si="8"/>
        <v>0</v>
      </c>
      <c r="K50" s="2">
        <f t="shared" si="13"/>
        <v>4.8792519918528492E-3</v>
      </c>
      <c r="L50" s="2">
        <f t="shared" si="14"/>
        <v>0</v>
      </c>
      <c r="M50" s="2">
        <f t="shared" si="9"/>
        <v>2.046425E-2</v>
      </c>
      <c r="N50" s="3">
        <f t="shared" si="15"/>
        <v>0.37215480497963221</v>
      </c>
      <c r="O50" s="3">
        <f t="shared" si="10"/>
        <v>2.4300000000000002</v>
      </c>
      <c r="P50" s="3">
        <f t="shared" si="16"/>
        <v>86.718977683949277</v>
      </c>
      <c r="Q50">
        <f t="shared" si="17"/>
        <v>1.62</v>
      </c>
      <c r="R50" s="3">
        <f t="shared" si="18"/>
        <v>8.9999999999999993E-3</v>
      </c>
      <c r="S50" s="1">
        <f t="shared" si="19"/>
        <v>0.35095667500000011</v>
      </c>
      <c r="T50" s="2">
        <f t="shared" si="20"/>
        <v>1.2198129979632124E-2</v>
      </c>
      <c r="U50" s="3">
        <f t="shared" si="21"/>
        <v>2.4183484613325263</v>
      </c>
      <c r="V50" s="5">
        <f t="shared" si="22"/>
        <v>94.30394833118109</v>
      </c>
      <c r="W50" s="5">
        <f t="shared" si="11"/>
        <v>3.2777032074863897</v>
      </c>
    </row>
    <row r="51" spans="1:23" x14ac:dyDescent="0.25">
      <c r="A51">
        <f t="shared" si="12"/>
        <v>56</v>
      </c>
      <c r="B51">
        <f t="shared" si="0"/>
        <v>1.68</v>
      </c>
      <c r="C51" s="3">
        <f t="shared" si="1"/>
        <v>1.6861889969197799</v>
      </c>
      <c r="D51" s="2">
        <f t="shared" si="2"/>
        <v>0.17414804166666667</v>
      </c>
      <c r="E51" s="2">
        <f t="shared" si="3"/>
        <v>6.3972750000000009E-2</v>
      </c>
      <c r="F51" s="2">
        <f t="shared" si="4"/>
        <v>0</v>
      </c>
      <c r="G51" s="2">
        <f t="shared" si="5"/>
        <v>0.11687413333333335</v>
      </c>
      <c r="H51" s="2">
        <f t="shared" si="6"/>
        <v>5.0585669907593387E-3</v>
      </c>
      <c r="I51" s="2">
        <f t="shared" si="7"/>
        <v>2.5292834953796694E-3</v>
      </c>
      <c r="J51" s="2">
        <f t="shared" si="8"/>
        <v>0</v>
      </c>
      <c r="K51" s="2">
        <f t="shared" si="13"/>
        <v>5.0585669907593387E-3</v>
      </c>
      <c r="L51" s="2">
        <f t="shared" si="14"/>
        <v>0</v>
      </c>
      <c r="M51" s="2">
        <f t="shared" si="9"/>
        <v>2.1949250000000003E-2</v>
      </c>
      <c r="N51" s="3">
        <f t="shared" si="15"/>
        <v>0.39859059247689843</v>
      </c>
      <c r="O51" s="3">
        <f t="shared" si="10"/>
        <v>2.52</v>
      </c>
      <c r="P51" s="3">
        <f t="shared" si="16"/>
        <v>86.34304538963687</v>
      </c>
      <c r="Q51">
        <f t="shared" si="17"/>
        <v>1.68</v>
      </c>
      <c r="R51" s="3">
        <f t="shared" si="18"/>
        <v>8.9999999999999993E-3</v>
      </c>
      <c r="S51" s="1">
        <f t="shared" si="19"/>
        <v>0.37694417499999999</v>
      </c>
      <c r="T51" s="2">
        <f t="shared" si="20"/>
        <v>1.2646417476898347E-2</v>
      </c>
      <c r="U51" s="3">
        <f t="shared" si="21"/>
        <v>2.2579559502578133</v>
      </c>
      <c r="V51" s="5">
        <f t="shared" si="22"/>
        <v>94.5692603173636</v>
      </c>
      <c r="W51" s="5">
        <f t="shared" si="11"/>
        <v>3.1727837323785582</v>
      </c>
    </row>
    <row r="52" spans="1:23" x14ac:dyDescent="0.25">
      <c r="A52">
        <f t="shared" si="12"/>
        <v>58</v>
      </c>
      <c r="B52">
        <f t="shared" si="0"/>
        <v>1.74</v>
      </c>
      <c r="C52" s="3">
        <f t="shared" si="1"/>
        <v>1.7459763266818178</v>
      </c>
      <c r="D52" s="2">
        <f t="shared" si="2"/>
        <v>0.18671654166666665</v>
      </c>
      <c r="E52" s="2">
        <f t="shared" si="3"/>
        <v>6.8589750000000005E-2</v>
      </c>
      <c r="F52" s="2">
        <f t="shared" si="4"/>
        <v>0</v>
      </c>
      <c r="G52" s="2">
        <f t="shared" si="5"/>
        <v>0.12508213333333335</v>
      </c>
      <c r="H52" s="2">
        <f t="shared" si="6"/>
        <v>5.2379289800454538E-3</v>
      </c>
      <c r="I52" s="2">
        <f t="shared" si="7"/>
        <v>2.6189644900227269E-3</v>
      </c>
      <c r="J52" s="2">
        <f t="shared" si="8"/>
        <v>0</v>
      </c>
      <c r="K52" s="2">
        <f t="shared" si="13"/>
        <v>5.2379289800454538E-3</v>
      </c>
      <c r="L52" s="2">
        <f t="shared" si="14"/>
        <v>0</v>
      </c>
      <c r="M52" s="2">
        <f t="shared" si="9"/>
        <v>2.3488249999999999E-2</v>
      </c>
      <c r="N52" s="3">
        <f t="shared" si="15"/>
        <v>0.42597149745011359</v>
      </c>
      <c r="O52" s="3">
        <f t="shared" si="10"/>
        <v>2.61</v>
      </c>
      <c r="P52" s="3">
        <f t="shared" si="16"/>
        <v>85.969186541840614</v>
      </c>
      <c r="Q52">
        <f t="shared" si="17"/>
        <v>1.74</v>
      </c>
      <c r="R52" s="3">
        <f t="shared" si="18"/>
        <v>8.9999999999999993E-3</v>
      </c>
      <c r="S52" s="1">
        <f t="shared" si="19"/>
        <v>0.40387667499999996</v>
      </c>
      <c r="T52" s="2">
        <f t="shared" si="20"/>
        <v>1.3094822450113635E-2</v>
      </c>
      <c r="U52" s="3">
        <f t="shared" si="21"/>
        <v>2.1128174194457712</v>
      </c>
      <c r="V52" s="5">
        <f t="shared" si="22"/>
        <v>94.813074916426487</v>
      </c>
      <c r="W52" s="5">
        <f t="shared" si="11"/>
        <v>3.0741076641277383</v>
      </c>
    </row>
    <row r="53" spans="1:23" x14ac:dyDescent="0.25">
      <c r="A53">
        <f t="shared" si="12"/>
        <v>60</v>
      </c>
      <c r="B53">
        <f t="shared" si="0"/>
        <v>1.8</v>
      </c>
      <c r="C53" s="3">
        <f t="shared" si="1"/>
        <v>1.805777764104247</v>
      </c>
      <c r="D53" s="2">
        <f t="shared" si="2"/>
        <v>0.19972604166666671</v>
      </c>
      <c r="E53" s="2">
        <f t="shared" si="3"/>
        <v>7.3368749999999996E-2</v>
      </c>
      <c r="F53" s="2">
        <f t="shared" si="4"/>
        <v>0</v>
      </c>
      <c r="G53" s="2">
        <f t="shared" si="5"/>
        <v>0.13357813333333335</v>
      </c>
      <c r="H53" s="2">
        <f t="shared" si="6"/>
        <v>5.4173332923127407E-3</v>
      </c>
      <c r="I53" s="2">
        <f t="shared" si="7"/>
        <v>2.7086666461563704E-3</v>
      </c>
      <c r="J53" s="2">
        <f t="shared" si="8"/>
        <v>0</v>
      </c>
      <c r="K53" s="2">
        <f t="shared" si="13"/>
        <v>5.4173332923127407E-3</v>
      </c>
      <c r="L53" s="2">
        <f t="shared" si="14"/>
        <v>0</v>
      </c>
      <c r="M53" s="2">
        <f t="shared" si="9"/>
        <v>2.5081249999999992E-2</v>
      </c>
      <c r="N53" s="3">
        <f t="shared" si="15"/>
        <v>0.45429750823078197</v>
      </c>
      <c r="O53" s="3">
        <f t="shared" si="10"/>
        <v>2.7</v>
      </c>
      <c r="P53" s="3">
        <f t="shared" si="16"/>
        <v>85.597506035960663</v>
      </c>
      <c r="Q53">
        <f t="shared" si="17"/>
        <v>1.8</v>
      </c>
      <c r="R53" s="3">
        <f t="shared" si="18"/>
        <v>8.9999999999999993E-3</v>
      </c>
      <c r="S53" s="1">
        <f t="shared" si="19"/>
        <v>0.43175417500000007</v>
      </c>
      <c r="T53" s="2">
        <f t="shared" si="20"/>
        <v>1.3543333230781853E-2</v>
      </c>
      <c r="U53" s="3">
        <f t="shared" si="21"/>
        <v>1.9810806436182393</v>
      </c>
      <c r="V53" s="5">
        <f t="shared" si="22"/>
        <v>95.037759877095795</v>
      </c>
      <c r="W53" s="5">
        <f t="shared" si="11"/>
        <v>2.9811594792859561</v>
      </c>
    </row>
    <row r="54" spans="1:23" x14ac:dyDescent="0.25">
      <c r="A54">
        <f t="shared" si="12"/>
        <v>62</v>
      </c>
      <c r="B54">
        <f t="shared" si="0"/>
        <v>1.86</v>
      </c>
      <c r="C54" s="3">
        <f t="shared" si="1"/>
        <v>1.8655919525269544</v>
      </c>
      <c r="D54" s="2">
        <f t="shared" si="2"/>
        <v>0.21317654166666675</v>
      </c>
      <c r="E54" s="2">
        <f t="shared" si="3"/>
        <v>7.8309750000000025E-2</v>
      </c>
      <c r="F54" s="2">
        <f t="shared" si="4"/>
        <v>0</v>
      </c>
      <c r="G54" s="2">
        <f t="shared" si="5"/>
        <v>0.14236213333333339</v>
      </c>
      <c r="H54" s="2">
        <f t="shared" si="6"/>
        <v>5.5967758575808631E-3</v>
      </c>
      <c r="I54" s="2">
        <f t="shared" si="7"/>
        <v>2.7983879287904316E-3</v>
      </c>
      <c r="J54" s="2">
        <f t="shared" si="8"/>
        <v>0</v>
      </c>
      <c r="K54" s="2">
        <f t="shared" si="13"/>
        <v>5.5967758575808631E-3</v>
      </c>
      <c r="L54" s="2">
        <f t="shared" si="14"/>
        <v>0</v>
      </c>
      <c r="M54" s="2">
        <f t="shared" si="9"/>
        <v>2.6728250000000005E-2</v>
      </c>
      <c r="N54" s="3">
        <f t="shared" si="15"/>
        <v>0.48356861464395234</v>
      </c>
      <c r="O54" s="3">
        <f t="shared" si="10"/>
        <v>2.79</v>
      </c>
      <c r="P54" s="3">
        <f t="shared" si="16"/>
        <v>85.22808984419143</v>
      </c>
      <c r="Q54">
        <f t="shared" si="17"/>
        <v>1.86</v>
      </c>
      <c r="R54" s="3">
        <f t="shared" si="18"/>
        <v>8.9999999999999993E-3</v>
      </c>
      <c r="S54" s="1">
        <f t="shared" si="19"/>
        <v>0.46057667500000021</v>
      </c>
      <c r="T54" s="2">
        <f t="shared" si="20"/>
        <v>1.3991939643952157E-2</v>
      </c>
      <c r="U54" s="3">
        <f t="shared" si="21"/>
        <v>1.8611629720069047</v>
      </c>
      <c r="V54" s="5">
        <f t="shared" si="22"/>
        <v>95.245361475562078</v>
      </c>
      <c r="W54" s="5">
        <f t="shared" si="11"/>
        <v>2.8934755524310254</v>
      </c>
    </row>
    <row r="55" spans="1:23" x14ac:dyDescent="0.25">
      <c r="A55">
        <f t="shared" si="12"/>
        <v>64</v>
      </c>
      <c r="B55">
        <f t="shared" ref="B55:B73" si="23">$B$17/$E$2*A55/100</f>
        <v>1.92</v>
      </c>
      <c r="C55" s="3">
        <f t="shared" si="1"/>
        <v>1.9254177035992304</v>
      </c>
      <c r="D55" s="2">
        <f t="shared" ref="D55:D73" si="24">(C55/$E$2)^2*$B$12/1000*$B$7/100*$E$2</f>
        <v>0.22706804166666669</v>
      </c>
      <c r="E55" s="2">
        <f t="shared" ref="E55:E73" si="25">(C55/$E$2)^2*$B$13/1000*(1-$B$7/100)*$E$2</f>
        <v>8.3412750000000022E-2</v>
      </c>
      <c r="F55" s="2">
        <f t="shared" ref="F55:F73" si="26">(C55/$E$2)^2*($B$16/1000)*$E$2</f>
        <v>0</v>
      </c>
      <c r="G55" s="2">
        <f t="shared" ref="G55:G73" si="27">(C55/$E$2)^2*($B$14/1000)*$E$2 + $B$15/1000*$E$2</f>
        <v>0.15143413333333336</v>
      </c>
      <c r="H55" s="2">
        <f t="shared" ref="H55:H73" si="28">0.5*$B$5*C55/$E$2*($G$5+$G$6)*$E$2*0.000000001*$B$8*1000</f>
        <v>5.7762531107976908E-3</v>
      </c>
      <c r="I55" s="2">
        <f t="shared" ref="I55:I73" si="29">0.5*$G$11*C55/$E$2*($G$7+$G$8)*$E$2*0.000000001*$B$8*1000</f>
        <v>2.8881265553988454E-3</v>
      </c>
      <c r="J55" s="2">
        <f t="shared" ref="J55:J73" si="30">0.5*($G$9+$G$10)*$E$2*0.000000000001*($B$5)^2*$B$8*1000</f>
        <v>0</v>
      </c>
      <c r="K55" s="2">
        <f t="shared" ref="K55:K73" si="31">$G$11*C55/$E$2*($G$12+$G$13)*$E$2*0.000000001*$B$8*1000</f>
        <v>5.7762531107976908E-3</v>
      </c>
      <c r="L55" s="2">
        <f t="shared" ref="L55:L73" si="32">($G$14+$G$15)*$E$2*0.000000001*$G$16*$B$8*1000</f>
        <v>0</v>
      </c>
      <c r="M55" s="2">
        <f t="shared" ref="M55:M73" si="33">($B$18/(2*3^0.5))^2*$G$17/1000+(C55*(($B$5-$B$6)*$B$6)^0.5/$B$5)^2*$G$18/1000</f>
        <v>2.842925000000001E-2</v>
      </c>
      <c r="N55" s="3">
        <f t="shared" ref="N55:N73" si="34">SUM(D55:M55,R55)</f>
        <v>0.51378480777699431</v>
      </c>
      <c r="O55" s="3">
        <f t="shared" ref="O55:O73" si="35">$B$6*B55</f>
        <v>2.88</v>
      </c>
      <c r="P55" s="3">
        <f t="shared" si="16"/>
        <v>84.861008081607409</v>
      </c>
      <c r="Q55">
        <f t="shared" si="17"/>
        <v>1.92</v>
      </c>
      <c r="R55" s="3">
        <f t="shared" si="18"/>
        <v>8.9999999999999993E-3</v>
      </c>
      <c r="S55" s="1">
        <f t="shared" si="19"/>
        <v>0.4903441750000001</v>
      </c>
      <c r="T55" s="2">
        <f t="shared" si="20"/>
        <v>1.4440632776994226E-2</v>
      </c>
      <c r="U55" s="3">
        <f t="shared" si="21"/>
        <v>1.7517061352865855</v>
      </c>
      <c r="V55" s="5">
        <f t="shared" si="22"/>
        <v>95.437655527726605</v>
      </c>
      <c r="W55" s="5">
        <f t="shared" si="11"/>
        <v>2.8106383369868166</v>
      </c>
    </row>
    <row r="56" spans="1:23" x14ac:dyDescent="0.25">
      <c r="A56">
        <f t="shared" ref="A56:A73" si="36">A55+2*$E$2</f>
        <v>66</v>
      </c>
      <c r="B56">
        <f t="shared" si="23"/>
        <v>1.98</v>
      </c>
      <c r="C56" s="3">
        <f t="shared" si="1"/>
        <v>1.9852539719978735</v>
      </c>
      <c r="D56" s="2">
        <f t="shared" si="24"/>
        <v>0.24140054166666666</v>
      </c>
      <c r="E56" s="2">
        <f t="shared" si="25"/>
        <v>8.867775E-2</v>
      </c>
      <c r="F56" s="2">
        <f t="shared" si="26"/>
        <v>0</v>
      </c>
      <c r="G56" s="2">
        <f t="shared" si="27"/>
        <v>0.16079413333333334</v>
      </c>
      <c r="H56" s="2">
        <f t="shared" si="28"/>
        <v>5.9557619159936199E-3</v>
      </c>
      <c r="I56" s="2">
        <f t="shared" si="29"/>
        <v>2.9778809579968099E-3</v>
      </c>
      <c r="J56" s="2">
        <f t="shared" si="30"/>
        <v>0</v>
      </c>
      <c r="K56" s="2">
        <f t="shared" si="31"/>
        <v>5.9557619159936199E-3</v>
      </c>
      <c r="L56" s="2">
        <f t="shared" si="32"/>
        <v>0</v>
      </c>
      <c r="M56" s="2">
        <f t="shared" si="33"/>
        <v>3.0184249999999999E-2</v>
      </c>
      <c r="N56" s="3">
        <f t="shared" si="34"/>
        <v>0.54494607978998422</v>
      </c>
      <c r="O56" s="3">
        <f t="shared" si="35"/>
        <v>2.9699999999999998</v>
      </c>
      <c r="P56" s="3">
        <f t="shared" si="16"/>
        <v>84.496317513281895</v>
      </c>
      <c r="Q56">
        <f t="shared" si="17"/>
        <v>1.98</v>
      </c>
      <c r="R56" s="3">
        <f t="shared" si="18"/>
        <v>8.9999999999999993E-3</v>
      </c>
      <c r="S56" s="1">
        <f t="shared" si="19"/>
        <v>0.52105667500000008</v>
      </c>
      <c r="T56" s="2">
        <f t="shared" si="20"/>
        <v>1.4889404789984051E-2</v>
      </c>
      <c r="U56" s="3">
        <f t="shared" si="21"/>
        <v>1.6515395437780731</v>
      </c>
      <c r="V56" s="5">
        <f t="shared" si="22"/>
        <v>95.61618925689109</v>
      </c>
      <c r="W56" s="5">
        <f t="shared" si="11"/>
        <v>2.7322711993308131</v>
      </c>
    </row>
    <row r="57" spans="1:23" x14ac:dyDescent="0.25">
      <c r="A57">
        <f t="shared" si="36"/>
        <v>68</v>
      </c>
      <c r="B57">
        <f t="shared" si="23"/>
        <v>2.04</v>
      </c>
      <c r="C57" s="3">
        <f t="shared" si="1"/>
        <v>2.0450998345639104</v>
      </c>
      <c r="D57" s="2">
        <f t="shared" si="24"/>
        <v>0.25617404166666669</v>
      </c>
      <c r="E57" s="2">
        <f t="shared" si="25"/>
        <v>9.4104750000000015E-2</v>
      </c>
      <c r="F57" s="2">
        <f t="shared" si="26"/>
        <v>0</v>
      </c>
      <c r="G57" s="2">
        <f t="shared" si="27"/>
        <v>0.17044213333333336</v>
      </c>
      <c r="H57" s="2">
        <f t="shared" si="28"/>
        <v>6.1352995036917327E-3</v>
      </c>
      <c r="I57" s="2">
        <f t="shared" si="29"/>
        <v>3.0676497518458664E-3</v>
      </c>
      <c r="J57" s="2">
        <f t="shared" si="30"/>
        <v>0</v>
      </c>
      <c r="K57" s="2">
        <f t="shared" si="31"/>
        <v>6.1352995036917327E-3</v>
      </c>
      <c r="L57" s="2">
        <f t="shared" si="32"/>
        <v>0</v>
      </c>
      <c r="M57" s="2">
        <f t="shared" si="33"/>
        <v>3.1993250000000001E-2</v>
      </c>
      <c r="N57" s="3">
        <f t="shared" si="34"/>
        <v>0.57705242375922927</v>
      </c>
      <c r="O57" s="3">
        <f t="shared" si="35"/>
        <v>3.06</v>
      </c>
      <c r="P57" s="3">
        <f t="shared" si="16"/>
        <v>84.134063617296107</v>
      </c>
      <c r="Q57">
        <f t="shared" si="17"/>
        <v>2.04</v>
      </c>
      <c r="R57" s="3">
        <f t="shared" si="18"/>
        <v>8.9999999999999993E-3</v>
      </c>
      <c r="S57" s="1">
        <f t="shared" si="19"/>
        <v>0.55271417499999997</v>
      </c>
      <c r="T57" s="2">
        <f t="shared" si="20"/>
        <v>1.5338248759229333E-2</v>
      </c>
      <c r="U57" s="3">
        <f t="shared" si="21"/>
        <v>1.5596503245526927</v>
      </c>
      <c r="V57" s="5">
        <f t="shared" si="22"/>
        <v>95.782315824847103</v>
      </c>
      <c r="W57" s="5">
        <f t="shared" si="11"/>
        <v>2.6580338506002188</v>
      </c>
    </row>
    <row r="58" spans="1:23" x14ac:dyDescent="0.25">
      <c r="A58">
        <f t="shared" si="36"/>
        <v>70</v>
      </c>
      <c r="B58">
        <f t="shared" si="23"/>
        <v>2.1</v>
      </c>
      <c r="C58" s="3">
        <f t="shared" si="1"/>
        <v>2.104954472983521</v>
      </c>
      <c r="D58" s="2">
        <f t="shared" si="24"/>
        <v>0.27138854166666659</v>
      </c>
      <c r="E58" s="2">
        <f t="shared" si="25"/>
        <v>9.9693749999999984E-2</v>
      </c>
      <c r="F58" s="2">
        <f t="shared" si="26"/>
        <v>0</v>
      </c>
      <c r="G58" s="2">
        <f t="shared" si="27"/>
        <v>0.1803781333333333</v>
      </c>
      <c r="H58" s="2">
        <f t="shared" si="28"/>
        <v>6.3148634189505639E-3</v>
      </c>
      <c r="I58" s="2">
        <f t="shared" si="29"/>
        <v>3.1574317094752819E-3</v>
      </c>
      <c r="J58" s="2">
        <f t="shared" si="30"/>
        <v>0</v>
      </c>
      <c r="K58" s="2">
        <f t="shared" si="31"/>
        <v>6.3148634189505639E-3</v>
      </c>
      <c r="L58" s="2">
        <f t="shared" si="32"/>
        <v>0</v>
      </c>
      <c r="M58" s="2">
        <f t="shared" si="33"/>
        <v>3.3856249999999991E-2</v>
      </c>
      <c r="N58" s="3">
        <f t="shared" si="34"/>
        <v>0.61010383354737641</v>
      </c>
      <c r="O58" s="3">
        <f t="shared" si="35"/>
        <v>3.1500000000000004</v>
      </c>
      <c r="P58" s="3">
        <f t="shared" si="16"/>
        <v>83.774282292311355</v>
      </c>
      <c r="Q58">
        <f t="shared" si="17"/>
        <v>2.1</v>
      </c>
      <c r="R58" s="3">
        <f t="shared" si="18"/>
        <v>8.9999999999999993E-3</v>
      </c>
      <c r="S58" s="1">
        <f t="shared" si="19"/>
        <v>0.58531667499999995</v>
      </c>
      <c r="T58" s="2">
        <f t="shared" si="20"/>
        <v>1.5787158547376411E-2</v>
      </c>
      <c r="U58" s="3">
        <f t="shared" si="21"/>
        <v>1.4751587361237457</v>
      </c>
      <c r="V58" s="5">
        <f t="shared" si="22"/>
        <v>95.937222947239249</v>
      </c>
      <c r="W58" s="5">
        <f t="shared" si="11"/>
        <v>2.5876183166369975</v>
      </c>
    </row>
    <row r="59" spans="1:23" x14ac:dyDescent="0.25">
      <c r="A59">
        <f t="shared" si="36"/>
        <v>72</v>
      </c>
      <c r="B59">
        <f t="shared" si="23"/>
        <v>2.16</v>
      </c>
      <c r="C59" s="3">
        <f t="shared" si="1"/>
        <v>2.1648171593308598</v>
      </c>
      <c r="D59" s="2">
        <f t="shared" si="24"/>
        <v>0.28704404166666664</v>
      </c>
      <c r="E59" s="2">
        <f t="shared" si="25"/>
        <v>0.10544475</v>
      </c>
      <c r="F59" s="2">
        <f t="shared" si="26"/>
        <v>0</v>
      </c>
      <c r="G59" s="2">
        <f t="shared" si="27"/>
        <v>0.19060213333333334</v>
      </c>
      <c r="H59" s="2">
        <f t="shared" si="28"/>
        <v>6.4944514779925796E-3</v>
      </c>
      <c r="I59" s="2">
        <f t="shared" si="29"/>
        <v>3.2472257389962898E-3</v>
      </c>
      <c r="J59" s="2">
        <f t="shared" si="30"/>
        <v>0</v>
      </c>
      <c r="K59" s="2">
        <f t="shared" si="31"/>
        <v>6.4944514779925796E-3</v>
      </c>
      <c r="L59" s="2">
        <f t="shared" si="32"/>
        <v>0</v>
      </c>
      <c r="M59" s="2">
        <f t="shared" si="33"/>
        <v>3.5773250000000006E-2</v>
      </c>
      <c r="N59" s="3">
        <f t="shared" si="34"/>
        <v>0.64410030369498128</v>
      </c>
      <c r="O59" s="3">
        <f t="shared" si="35"/>
        <v>3.24</v>
      </c>
      <c r="P59" s="3">
        <f t="shared" si="16"/>
        <v>83.417001278719752</v>
      </c>
      <c r="Q59">
        <f t="shared" si="17"/>
        <v>2.16</v>
      </c>
      <c r="R59" s="3">
        <f t="shared" si="18"/>
        <v>8.9999999999999993E-3</v>
      </c>
      <c r="S59" s="1">
        <f t="shared" si="19"/>
        <v>0.61886417499999991</v>
      </c>
      <c r="T59" s="2">
        <f t="shared" si="20"/>
        <v>1.623612869498145E-2</v>
      </c>
      <c r="U59" s="3">
        <f t="shared" si="21"/>
        <v>1.397297897294894</v>
      </c>
      <c r="V59" s="5">
        <f t="shared" si="22"/>
        <v>96.08195671540436</v>
      </c>
      <c r="W59" s="5">
        <f t="shared" si="11"/>
        <v>2.5207453873007637</v>
      </c>
    </row>
    <row r="60" spans="1:23" x14ac:dyDescent="0.25">
      <c r="A60">
        <f t="shared" si="36"/>
        <v>74</v>
      </c>
      <c r="B60">
        <f t="shared" si="23"/>
        <v>2.2200000000000002</v>
      </c>
      <c r="C60" s="3">
        <f t="shared" si="1"/>
        <v>2.2246872439363998</v>
      </c>
      <c r="D60" s="2">
        <f t="shared" si="24"/>
        <v>0.30314054166666676</v>
      </c>
      <c r="E60" s="2">
        <f t="shared" si="25"/>
        <v>0.11135775000000002</v>
      </c>
      <c r="F60" s="2">
        <f t="shared" si="26"/>
        <v>0</v>
      </c>
      <c r="G60" s="2">
        <f t="shared" si="27"/>
        <v>0.20111413333333339</v>
      </c>
      <c r="H60" s="2">
        <f t="shared" si="28"/>
        <v>6.6740617318092011E-3</v>
      </c>
      <c r="I60" s="2">
        <f t="shared" si="29"/>
        <v>3.3370308659046006E-3</v>
      </c>
      <c r="J60" s="2">
        <f t="shared" si="30"/>
        <v>0</v>
      </c>
      <c r="K60" s="2">
        <f t="shared" si="31"/>
        <v>6.6740617318092011E-3</v>
      </c>
      <c r="L60" s="2">
        <f t="shared" si="32"/>
        <v>0</v>
      </c>
      <c r="M60" s="2">
        <f t="shared" si="33"/>
        <v>3.7744250000000007E-2</v>
      </c>
      <c r="N60" s="3">
        <f t="shared" si="34"/>
        <v>0.67904182932952317</v>
      </c>
      <c r="O60" s="3">
        <f t="shared" si="35"/>
        <v>3.33</v>
      </c>
      <c r="P60" s="3">
        <f t="shared" si="16"/>
        <v>83.062241347502066</v>
      </c>
      <c r="Q60">
        <f t="shared" si="17"/>
        <v>2.2200000000000002</v>
      </c>
      <c r="R60" s="3">
        <f t="shared" si="18"/>
        <v>8.9999999999999993E-3</v>
      </c>
      <c r="S60" s="1">
        <f t="shared" si="19"/>
        <v>0.65335667500000016</v>
      </c>
      <c r="T60" s="2">
        <f t="shared" si="20"/>
        <v>1.6685154329523003E-2</v>
      </c>
      <c r="U60" s="3">
        <f t="shared" si="21"/>
        <v>1.3253969948930067</v>
      </c>
      <c r="V60" s="5">
        <f t="shared" si="22"/>
        <v>96.217441515365238</v>
      </c>
      <c r="W60" s="5">
        <f t="shared" si="11"/>
        <v>2.4571614897417589</v>
      </c>
    </row>
    <row r="61" spans="1:23" x14ac:dyDescent="0.25">
      <c r="A61">
        <f t="shared" si="36"/>
        <v>76</v>
      </c>
      <c r="B61">
        <f t="shared" si="23"/>
        <v>2.2799999999999998</v>
      </c>
      <c r="C61" s="3">
        <f t="shared" si="1"/>
        <v>2.2845641451562115</v>
      </c>
      <c r="D61" s="2">
        <f t="shared" si="24"/>
        <v>0.31967804166666658</v>
      </c>
      <c r="E61" s="2">
        <f t="shared" si="25"/>
        <v>0.11743274999999996</v>
      </c>
      <c r="F61" s="2">
        <f t="shared" si="26"/>
        <v>0</v>
      </c>
      <c r="G61" s="2">
        <f t="shared" si="27"/>
        <v>0.21191413333333328</v>
      </c>
      <c r="H61" s="2">
        <f t="shared" si="28"/>
        <v>6.853692435468634E-3</v>
      </c>
      <c r="I61" s="2">
        <f t="shared" si="29"/>
        <v>3.426846217734317E-3</v>
      </c>
      <c r="J61" s="2">
        <f t="shared" si="30"/>
        <v>0</v>
      </c>
      <c r="K61" s="2">
        <f t="shared" si="31"/>
        <v>6.853692435468634E-3</v>
      </c>
      <c r="L61" s="2">
        <f t="shared" si="32"/>
        <v>0</v>
      </c>
      <c r="M61" s="2">
        <f t="shared" si="33"/>
        <v>3.9769249999999985E-2</v>
      </c>
      <c r="N61" s="3">
        <f t="shared" si="34"/>
        <v>0.71492840608867148</v>
      </c>
      <c r="O61" s="3">
        <f t="shared" si="35"/>
        <v>3.42</v>
      </c>
      <c r="P61" s="3">
        <f t="shared" si="16"/>
        <v>82.710017299551282</v>
      </c>
      <c r="Q61">
        <f t="shared" si="17"/>
        <v>2.2799999999999998</v>
      </c>
      <c r="R61" s="3">
        <f t="shared" si="18"/>
        <v>8.9999999999999993E-3</v>
      </c>
      <c r="S61" s="1">
        <f t="shared" si="19"/>
        <v>0.68879417499999984</v>
      </c>
      <c r="T61" s="2">
        <f t="shared" si="20"/>
        <v>1.7134231088671584E-2</v>
      </c>
      <c r="U61" s="3">
        <f t="shared" si="21"/>
        <v>1.2588673108176573</v>
      </c>
      <c r="V61" s="5">
        <f t="shared" si="22"/>
        <v>96.344496754346295</v>
      </c>
      <c r="W61" s="5">
        <f t="shared" si="11"/>
        <v>2.3966359348360333</v>
      </c>
    </row>
    <row r="62" spans="1:23" x14ac:dyDescent="0.25">
      <c r="A62">
        <f t="shared" si="36"/>
        <v>78</v>
      </c>
      <c r="B62">
        <f t="shared" si="23"/>
        <v>2.34</v>
      </c>
      <c r="C62" s="3">
        <f t="shared" si="1"/>
        <v>2.3444473407038453</v>
      </c>
      <c r="D62" s="2">
        <f t="shared" si="24"/>
        <v>0.33665654166666653</v>
      </c>
      <c r="E62" s="2">
        <f t="shared" si="25"/>
        <v>0.12366974999999998</v>
      </c>
      <c r="F62" s="2">
        <f t="shared" si="26"/>
        <v>0</v>
      </c>
      <c r="G62" s="2">
        <f t="shared" si="27"/>
        <v>0.2230021333333333</v>
      </c>
      <c r="H62" s="2">
        <f t="shared" si="28"/>
        <v>7.0333420221115363E-3</v>
      </c>
      <c r="I62" s="2">
        <f t="shared" si="29"/>
        <v>3.5166710110557681E-3</v>
      </c>
      <c r="J62" s="2">
        <f t="shared" si="30"/>
        <v>0</v>
      </c>
      <c r="K62" s="2">
        <f t="shared" si="31"/>
        <v>7.0333420221115363E-3</v>
      </c>
      <c r="L62" s="2">
        <f t="shared" si="32"/>
        <v>0</v>
      </c>
      <c r="M62" s="2">
        <f t="shared" si="33"/>
        <v>4.1848249999999997E-2</v>
      </c>
      <c r="N62" s="3">
        <f t="shared" si="34"/>
        <v>0.75176003005527881</v>
      </c>
      <c r="O62" s="3">
        <f t="shared" si="35"/>
        <v>3.51</v>
      </c>
      <c r="P62" s="3">
        <f t="shared" si="16"/>
        <v>82.360338809467692</v>
      </c>
      <c r="Q62">
        <f t="shared" si="17"/>
        <v>2.34</v>
      </c>
      <c r="R62" s="3">
        <f t="shared" si="18"/>
        <v>8.9999999999999993E-3</v>
      </c>
      <c r="S62" s="1">
        <f t="shared" si="19"/>
        <v>0.72517667499999983</v>
      </c>
      <c r="T62" s="2">
        <f t="shared" si="20"/>
        <v>1.7583355055278839E-2</v>
      </c>
      <c r="U62" s="3">
        <f t="shared" si="21"/>
        <v>1.1971905448788236</v>
      </c>
      <c r="V62" s="5">
        <f t="shared" si="22"/>
        <v>96.4638509640737</v>
      </c>
      <c r="W62" s="5">
        <f t="shared" si="11"/>
        <v>2.3389584910474546</v>
      </c>
    </row>
    <row r="63" spans="1:23" x14ac:dyDescent="0.25">
      <c r="A63">
        <f t="shared" si="36"/>
        <v>80</v>
      </c>
      <c r="B63">
        <f t="shared" si="23"/>
        <v>2.4</v>
      </c>
      <c r="C63" s="3">
        <f t="shared" si="1"/>
        <v>2.4043363602735233</v>
      </c>
      <c r="D63" s="2">
        <f t="shared" si="24"/>
        <v>0.35407604166666667</v>
      </c>
      <c r="E63" s="2">
        <f t="shared" si="25"/>
        <v>0.13006875000000001</v>
      </c>
      <c r="F63" s="2">
        <f t="shared" si="26"/>
        <v>0</v>
      </c>
      <c r="G63" s="2">
        <f t="shared" si="27"/>
        <v>0.23437813333333335</v>
      </c>
      <c r="H63" s="2">
        <f t="shared" si="28"/>
        <v>7.2130090808205692E-3</v>
      </c>
      <c r="I63" s="2">
        <f t="shared" si="29"/>
        <v>3.6065045404102846E-3</v>
      </c>
      <c r="J63" s="2">
        <f t="shared" si="30"/>
        <v>0</v>
      </c>
      <c r="K63" s="2">
        <f t="shared" si="31"/>
        <v>7.2130090808205692E-3</v>
      </c>
      <c r="L63" s="2">
        <f t="shared" si="32"/>
        <v>0</v>
      </c>
      <c r="M63" s="2">
        <f t="shared" si="33"/>
        <v>4.3981250000000006E-2</v>
      </c>
      <c r="N63" s="3">
        <f t="shared" si="34"/>
        <v>0.78953669770205148</v>
      </c>
      <c r="O63" s="3">
        <f t="shared" si="35"/>
        <v>3.5999999999999996</v>
      </c>
      <c r="P63" s="3">
        <f t="shared" si="16"/>
        <v>82.013211141044138</v>
      </c>
      <c r="Q63">
        <f t="shared" si="17"/>
        <v>2.4</v>
      </c>
      <c r="R63" s="3">
        <f t="shared" si="18"/>
        <v>8.9999999999999993E-3</v>
      </c>
      <c r="S63" s="1">
        <f t="shared" si="19"/>
        <v>0.76250417500000001</v>
      </c>
      <c r="T63" s="2">
        <f t="shared" si="20"/>
        <v>1.8032522702051423E-2</v>
      </c>
      <c r="U63" s="3">
        <f t="shared" si="21"/>
        <v>1.1399090157803331</v>
      </c>
      <c r="V63" s="5">
        <f t="shared" si="22"/>
        <v>96.576153739182786</v>
      </c>
      <c r="W63" s="5">
        <f t="shared" si="11"/>
        <v>2.2839372450368836</v>
      </c>
    </row>
    <row r="64" spans="1:23" x14ac:dyDescent="0.25">
      <c r="A64">
        <f t="shared" si="36"/>
        <v>82</v>
      </c>
      <c r="B64">
        <f t="shared" si="23"/>
        <v>2.46</v>
      </c>
      <c r="C64" s="3">
        <f t="shared" si="1"/>
        <v>2.4642307792358515</v>
      </c>
      <c r="D64" s="2">
        <f t="shared" si="24"/>
        <v>0.37193654166666656</v>
      </c>
      <c r="E64" s="2">
        <f t="shared" si="25"/>
        <v>0.13662974999999997</v>
      </c>
      <c r="F64" s="2">
        <f t="shared" si="26"/>
        <v>0</v>
      </c>
      <c r="G64" s="2">
        <f t="shared" si="27"/>
        <v>0.24604213333333327</v>
      </c>
      <c r="H64" s="2">
        <f t="shared" si="28"/>
        <v>7.3926923377075566E-3</v>
      </c>
      <c r="I64" s="2">
        <f t="shared" si="29"/>
        <v>3.6963461688537783E-3</v>
      </c>
      <c r="J64" s="2">
        <f t="shared" si="30"/>
        <v>0</v>
      </c>
      <c r="K64" s="2">
        <f t="shared" si="31"/>
        <v>7.3926923377075566E-3</v>
      </c>
      <c r="L64" s="2">
        <f t="shared" si="32"/>
        <v>0</v>
      </c>
      <c r="M64" s="2">
        <f t="shared" si="33"/>
        <v>4.6168249999999987E-2</v>
      </c>
      <c r="N64" s="3">
        <f t="shared" si="34"/>
        <v>0.82825840584426869</v>
      </c>
      <c r="O64" s="3">
        <f t="shared" si="35"/>
        <v>3.69</v>
      </c>
      <c r="P64" s="3">
        <f t="shared" si="16"/>
        <v>81.66863575635837</v>
      </c>
      <c r="Q64">
        <f t="shared" si="17"/>
        <v>2.46</v>
      </c>
      <c r="R64" s="3">
        <f t="shared" si="18"/>
        <v>8.9999999999999993E-3</v>
      </c>
      <c r="S64" s="1">
        <f t="shared" si="19"/>
        <v>0.80077667499999983</v>
      </c>
      <c r="T64" s="2">
        <f t="shared" si="20"/>
        <v>1.8481730844268893E-2</v>
      </c>
      <c r="U64" s="3">
        <f t="shared" si="21"/>
        <v>1.0866174054492124</v>
      </c>
      <c r="V64" s="5">
        <f t="shared" si="22"/>
        <v>96.681985881416338</v>
      </c>
      <c r="W64" s="5">
        <f t="shared" si="11"/>
        <v>2.2313967131344605</v>
      </c>
    </row>
    <row r="65" spans="1:23" x14ac:dyDescent="0.25">
      <c r="A65">
        <f t="shared" si="36"/>
        <v>84</v>
      </c>
      <c r="B65">
        <f t="shared" si="23"/>
        <v>2.52</v>
      </c>
      <c r="C65" s="3">
        <f t="shared" si="1"/>
        <v>2.5241302132285752</v>
      </c>
      <c r="D65" s="2">
        <f t="shared" si="24"/>
        <v>0.39023804166666659</v>
      </c>
      <c r="E65" s="2">
        <f t="shared" si="25"/>
        <v>0.14335274999999997</v>
      </c>
      <c r="F65" s="2">
        <f t="shared" si="26"/>
        <v>0</v>
      </c>
      <c r="G65" s="2">
        <f t="shared" si="27"/>
        <v>0.25799413333333332</v>
      </c>
      <c r="H65" s="2">
        <f t="shared" si="28"/>
        <v>7.5723906396857254E-3</v>
      </c>
      <c r="I65" s="2">
        <f t="shared" si="29"/>
        <v>3.7861953198428627E-3</v>
      </c>
      <c r="J65" s="2">
        <f t="shared" si="30"/>
        <v>0</v>
      </c>
      <c r="K65" s="2">
        <f t="shared" si="31"/>
        <v>7.5723906396857254E-3</v>
      </c>
      <c r="L65" s="2">
        <f t="shared" si="32"/>
        <v>0</v>
      </c>
      <c r="M65" s="2">
        <f t="shared" si="33"/>
        <v>4.8409249999999994E-2</v>
      </c>
      <c r="N65" s="3">
        <f t="shared" si="34"/>
        <v>0.86792515159921413</v>
      </c>
      <c r="O65" s="3">
        <f t="shared" si="35"/>
        <v>3.7800000000000002</v>
      </c>
      <c r="P65" s="3">
        <f t="shared" si="16"/>
        <v>81.326610836222557</v>
      </c>
      <c r="Q65">
        <f t="shared" si="17"/>
        <v>2.52</v>
      </c>
      <c r="R65" s="3">
        <f t="shared" si="18"/>
        <v>8.9999999999999993E-3</v>
      </c>
      <c r="S65" s="1">
        <f t="shared" si="19"/>
        <v>0.83999417499999984</v>
      </c>
      <c r="T65" s="2">
        <f t="shared" si="20"/>
        <v>1.8930976599214312E-2</v>
      </c>
      <c r="U65" s="3">
        <f t="shared" si="21"/>
        <v>1.0369557770525322</v>
      </c>
      <c r="V65" s="5">
        <f t="shared" si="22"/>
        <v>96.781868050747306</v>
      </c>
      <c r="W65" s="5">
        <f t="shared" si="11"/>
        <v>2.1811761722001761</v>
      </c>
    </row>
    <row r="66" spans="1:23" x14ac:dyDescent="0.25">
      <c r="A66">
        <f t="shared" si="36"/>
        <v>86</v>
      </c>
      <c r="B66">
        <f t="shared" si="23"/>
        <v>2.58</v>
      </c>
      <c r="C66" s="3">
        <f t="shared" si="1"/>
        <v>2.584034313497662</v>
      </c>
      <c r="D66" s="2">
        <f t="shared" si="24"/>
        <v>0.4089805416666667</v>
      </c>
      <c r="E66" s="2">
        <f t="shared" si="25"/>
        <v>0.15023775</v>
      </c>
      <c r="F66" s="2">
        <f t="shared" si="26"/>
        <v>0</v>
      </c>
      <c r="G66" s="2">
        <f t="shared" si="27"/>
        <v>0.27023413333333335</v>
      </c>
      <c r="H66" s="2">
        <f t="shared" si="28"/>
        <v>7.7521029404929859E-3</v>
      </c>
      <c r="I66" s="2">
        <f t="shared" si="29"/>
        <v>3.8760514702464929E-3</v>
      </c>
      <c r="J66" s="2">
        <f t="shared" si="30"/>
        <v>0</v>
      </c>
      <c r="K66" s="2">
        <f t="shared" si="31"/>
        <v>7.7521029404929859E-3</v>
      </c>
      <c r="L66" s="2">
        <f t="shared" si="32"/>
        <v>0</v>
      </c>
      <c r="M66" s="2">
        <f t="shared" si="33"/>
        <v>5.0704249999999999E-2</v>
      </c>
      <c r="N66" s="3">
        <f t="shared" si="34"/>
        <v>0.90853693235123256</v>
      </c>
      <c r="O66" s="3">
        <f t="shared" si="35"/>
        <v>3.87</v>
      </c>
      <c r="P66" s="3">
        <f t="shared" si="16"/>
        <v>80.987131726442556</v>
      </c>
      <c r="Q66">
        <f t="shared" si="17"/>
        <v>2.58</v>
      </c>
      <c r="R66" s="3">
        <f t="shared" si="18"/>
        <v>8.9999999999999993E-3</v>
      </c>
      <c r="S66" s="1">
        <f t="shared" si="19"/>
        <v>0.88015667500000005</v>
      </c>
      <c r="T66" s="2">
        <f t="shared" si="20"/>
        <v>1.9380257351232465E-2</v>
      </c>
      <c r="U66" s="3">
        <f t="shared" si="21"/>
        <v>0.99060364851746907</v>
      </c>
      <c r="V66" s="5">
        <f t="shared" si="22"/>
        <v>96.876268169111597</v>
      </c>
      <c r="W66" s="5">
        <f t="shared" si="11"/>
        <v>2.1331281823709314</v>
      </c>
    </row>
    <row r="67" spans="1:23" x14ac:dyDescent="0.25">
      <c r="A67">
        <f t="shared" si="36"/>
        <v>88</v>
      </c>
      <c r="B67">
        <f t="shared" si="23"/>
        <v>2.64</v>
      </c>
      <c r="C67" s="3">
        <f t="shared" si="1"/>
        <v>2.6439427628701293</v>
      </c>
      <c r="D67" s="2">
        <f t="shared" si="24"/>
        <v>0.42816404166666666</v>
      </c>
      <c r="E67" s="2">
        <f t="shared" si="25"/>
        <v>0.15728475</v>
      </c>
      <c r="F67" s="2">
        <f t="shared" si="26"/>
        <v>0</v>
      </c>
      <c r="G67" s="2">
        <f t="shared" si="27"/>
        <v>0.28276213333333333</v>
      </c>
      <c r="H67" s="2">
        <f t="shared" si="28"/>
        <v>7.9318282886103892E-3</v>
      </c>
      <c r="I67" s="2">
        <f t="shared" si="29"/>
        <v>3.9659141443051946E-3</v>
      </c>
      <c r="J67" s="2">
        <f t="shared" si="30"/>
        <v>0</v>
      </c>
      <c r="K67" s="2">
        <f t="shared" si="31"/>
        <v>7.9318282886103892E-3</v>
      </c>
      <c r="L67" s="2">
        <f t="shared" si="32"/>
        <v>0</v>
      </c>
      <c r="M67" s="2">
        <f t="shared" si="33"/>
        <v>5.3053249999999996E-2</v>
      </c>
      <c r="N67" s="3">
        <f t="shared" si="34"/>
        <v>0.95009374572152605</v>
      </c>
      <c r="O67" s="3">
        <f t="shared" si="35"/>
        <v>3.96</v>
      </c>
      <c r="P67" s="3">
        <f t="shared" si="16"/>
        <v>80.650191321715553</v>
      </c>
      <c r="Q67">
        <f t="shared" si="17"/>
        <v>2.64</v>
      </c>
      <c r="R67" s="3">
        <f t="shared" si="18"/>
        <v>8.9999999999999993E-3</v>
      </c>
      <c r="S67" s="1">
        <f t="shared" si="19"/>
        <v>0.92126417499999991</v>
      </c>
      <c r="T67" s="2">
        <f t="shared" si="20"/>
        <v>1.9829570721525976E-2</v>
      </c>
      <c r="U67" s="3">
        <f t="shared" si="21"/>
        <v>0.9472749442388092</v>
      </c>
      <c r="V67" s="5">
        <f t="shared" si="22"/>
        <v>96.965607778037494</v>
      </c>
      <c r="W67" s="5">
        <f t="shared" si="11"/>
        <v>2.0871172777236713</v>
      </c>
    </row>
    <row r="68" spans="1:23" x14ac:dyDescent="0.25">
      <c r="A68">
        <f t="shared" si="36"/>
        <v>90</v>
      </c>
      <c r="B68">
        <f t="shared" si="23"/>
        <v>2.7</v>
      </c>
      <c r="C68" s="3">
        <f t="shared" si="1"/>
        <v>2.7038552722609497</v>
      </c>
      <c r="D68" s="2">
        <f t="shared" si="24"/>
        <v>0.44778854166666671</v>
      </c>
      <c r="E68" s="2">
        <f t="shared" si="25"/>
        <v>0.16449374999999999</v>
      </c>
      <c r="F68" s="2">
        <f t="shared" si="26"/>
        <v>0</v>
      </c>
      <c r="G68" s="2">
        <f t="shared" si="27"/>
        <v>0.29557813333333338</v>
      </c>
      <c r="H68" s="2">
        <f t="shared" si="28"/>
        <v>8.1115658167828508E-3</v>
      </c>
      <c r="I68" s="2">
        <f t="shared" si="29"/>
        <v>4.0557829083914254E-3</v>
      </c>
      <c r="J68" s="2">
        <f t="shared" si="30"/>
        <v>0</v>
      </c>
      <c r="K68" s="2">
        <f t="shared" si="31"/>
        <v>8.1115658167828508E-3</v>
      </c>
      <c r="L68" s="2">
        <f t="shared" si="32"/>
        <v>0</v>
      </c>
      <c r="M68" s="2">
        <f t="shared" si="33"/>
        <v>5.5456250000000026E-2</v>
      </c>
      <c r="N68" s="3">
        <f t="shared" si="34"/>
        <v>0.99259558954195715</v>
      </c>
      <c r="O68" s="3">
        <f t="shared" si="35"/>
        <v>4.0500000000000007</v>
      </c>
      <c r="P68" s="3">
        <f t="shared" si="16"/>
        <v>80.315780396894382</v>
      </c>
      <c r="Q68">
        <f t="shared" si="17"/>
        <v>2.7</v>
      </c>
      <c r="R68" s="3">
        <f t="shared" si="18"/>
        <v>8.9999999999999993E-3</v>
      </c>
      <c r="S68" s="1">
        <f t="shared" si="19"/>
        <v>0.96331667500000007</v>
      </c>
      <c r="T68" s="2">
        <f t="shared" si="20"/>
        <v>2.0278914541957127E-2</v>
      </c>
      <c r="U68" s="3">
        <f t="shared" si="21"/>
        <v>0.90671368025654209</v>
      </c>
      <c r="V68" s="5">
        <f t="shared" si="22"/>
        <v>97.050267515749482</v>
      </c>
      <c r="W68" s="5">
        <f t="shared" si="11"/>
        <v>2.0430188039939838</v>
      </c>
    </row>
    <row r="69" spans="1:23" x14ac:dyDescent="0.25">
      <c r="A69">
        <f t="shared" si="36"/>
        <v>92</v>
      </c>
      <c r="B69">
        <f t="shared" si="23"/>
        <v>2.76</v>
      </c>
      <c r="C69" s="3">
        <f t="shared" si="1"/>
        <v>2.7637715776332406</v>
      </c>
      <c r="D69" s="2">
        <f t="shared" si="24"/>
        <v>0.4678540416666665</v>
      </c>
      <c r="E69" s="2">
        <f t="shared" si="25"/>
        <v>0.17186474999999996</v>
      </c>
      <c r="F69" s="2">
        <f t="shared" si="26"/>
        <v>0</v>
      </c>
      <c r="G69" s="2">
        <f t="shared" si="27"/>
        <v>0.30868213333333328</v>
      </c>
      <c r="H69" s="2">
        <f t="shared" si="28"/>
        <v>8.2913147328997211E-3</v>
      </c>
      <c r="I69" s="2">
        <f t="shared" si="29"/>
        <v>4.1456573664498605E-3</v>
      </c>
      <c r="J69" s="2">
        <f t="shared" si="30"/>
        <v>0</v>
      </c>
      <c r="K69" s="2">
        <f t="shared" si="31"/>
        <v>8.2913147328997211E-3</v>
      </c>
      <c r="L69" s="2">
        <f t="shared" si="32"/>
        <v>0</v>
      </c>
      <c r="M69" s="2">
        <f t="shared" si="33"/>
        <v>5.7913249999999993E-2</v>
      </c>
      <c r="N69" s="3">
        <f t="shared" si="34"/>
        <v>1.0360424618322488</v>
      </c>
      <c r="O69" s="3">
        <f t="shared" si="35"/>
        <v>4.1399999999999997</v>
      </c>
      <c r="P69" s="3">
        <f t="shared" si="16"/>
        <v>79.983887893657197</v>
      </c>
      <c r="Q69">
        <f t="shared" si="17"/>
        <v>2.76</v>
      </c>
      <c r="R69" s="3">
        <f t="shared" si="18"/>
        <v>8.9999999999999993E-3</v>
      </c>
      <c r="S69" s="1">
        <f t="shared" si="19"/>
        <v>1.0063141749999998</v>
      </c>
      <c r="T69" s="2">
        <f t="shared" si="20"/>
        <v>2.0728286832249303E-2</v>
      </c>
      <c r="U69" s="3">
        <f t="shared" si="21"/>
        <v>0.86869026430474983</v>
      </c>
      <c r="V69" s="5">
        <f t="shared" si="22"/>
        <v>97.130591850485132</v>
      </c>
      <c r="W69" s="5">
        <f t="shared" si="11"/>
        <v>2.0007178852101459</v>
      </c>
    </row>
    <row r="70" spans="1:23" x14ac:dyDescent="0.25">
      <c r="A70">
        <f t="shared" si="36"/>
        <v>94</v>
      </c>
      <c r="B70">
        <f t="shared" si="23"/>
        <v>2.82</v>
      </c>
      <c r="C70" s="3">
        <f t="shared" si="1"/>
        <v>2.8236914373446211</v>
      </c>
      <c r="D70" s="2">
        <f t="shared" si="24"/>
        <v>0.48836054166666654</v>
      </c>
      <c r="E70" s="2">
        <f t="shared" si="25"/>
        <v>0.17939774999999997</v>
      </c>
      <c r="F70" s="2">
        <f t="shared" si="26"/>
        <v>0</v>
      </c>
      <c r="G70" s="2">
        <f t="shared" si="27"/>
        <v>0.32207413333333329</v>
      </c>
      <c r="H70" s="2">
        <f t="shared" si="28"/>
        <v>8.4710743120338643E-3</v>
      </c>
      <c r="I70" s="2">
        <f t="shared" si="29"/>
        <v>4.2355371560169322E-3</v>
      </c>
      <c r="J70" s="2">
        <f t="shared" si="30"/>
        <v>0</v>
      </c>
      <c r="K70" s="2">
        <f t="shared" si="31"/>
        <v>8.4710743120338643E-3</v>
      </c>
      <c r="L70" s="2">
        <f t="shared" si="32"/>
        <v>0</v>
      </c>
      <c r="M70" s="2">
        <f t="shared" si="33"/>
        <v>6.0424249999999992E-2</v>
      </c>
      <c r="N70" s="3">
        <f t="shared" si="34"/>
        <v>1.0804343607800841</v>
      </c>
      <c r="O70" s="3">
        <f t="shared" si="35"/>
        <v>4.2299999999999995</v>
      </c>
      <c r="P70" s="3">
        <f t="shared" si="16"/>
        <v>79.65450116925328</v>
      </c>
      <c r="Q70">
        <f t="shared" si="17"/>
        <v>2.82</v>
      </c>
      <c r="R70" s="3">
        <f t="shared" si="18"/>
        <v>8.9999999999999993E-3</v>
      </c>
      <c r="S70" s="1">
        <f t="shared" si="19"/>
        <v>1.0502566749999998</v>
      </c>
      <c r="T70" s="2">
        <f t="shared" si="20"/>
        <v>2.1177685780084658E-2</v>
      </c>
      <c r="U70" s="3">
        <f t="shared" si="21"/>
        <v>0.83299831315082495</v>
      </c>
      <c r="V70" s="5">
        <f t="shared" si="22"/>
        <v>97.206893183377119</v>
      </c>
      <c r="W70" s="5">
        <f t="shared" si="11"/>
        <v>1.9601085034720818</v>
      </c>
    </row>
    <row r="71" spans="1:23" x14ac:dyDescent="0.25">
      <c r="A71">
        <f t="shared" si="36"/>
        <v>96</v>
      </c>
      <c r="B71">
        <f t="shared" si="23"/>
        <v>2.88</v>
      </c>
      <c r="C71" s="3">
        <f t="shared" si="1"/>
        <v>2.8836146298237102</v>
      </c>
      <c r="D71" s="2">
        <f t="shared" si="24"/>
        <v>0.50930804166666666</v>
      </c>
      <c r="E71" s="2">
        <f t="shared" si="25"/>
        <v>0.18709275</v>
      </c>
      <c r="F71" s="2">
        <f t="shared" si="26"/>
        <v>0</v>
      </c>
      <c r="G71" s="2">
        <f t="shared" si="27"/>
        <v>0.33575413333333337</v>
      </c>
      <c r="H71" s="2">
        <f t="shared" si="28"/>
        <v>8.6508438894711305E-3</v>
      </c>
      <c r="I71" s="2">
        <f t="shared" si="29"/>
        <v>4.3254219447355653E-3</v>
      </c>
      <c r="J71" s="2">
        <f t="shared" si="30"/>
        <v>0</v>
      </c>
      <c r="K71" s="2">
        <f t="shared" si="31"/>
        <v>8.6508438894711305E-3</v>
      </c>
      <c r="L71" s="2">
        <f t="shared" si="32"/>
        <v>0</v>
      </c>
      <c r="M71" s="2">
        <f t="shared" si="33"/>
        <v>6.2989249999999969E-2</v>
      </c>
      <c r="N71" s="3">
        <f t="shared" si="34"/>
        <v>1.1257712847236778</v>
      </c>
      <c r="O71" s="3">
        <f t="shared" si="35"/>
        <v>4.32</v>
      </c>
      <c r="P71" s="3">
        <f t="shared" si="16"/>
        <v>79.327606212885598</v>
      </c>
      <c r="Q71">
        <f t="shared" si="17"/>
        <v>2.88</v>
      </c>
      <c r="R71" s="3">
        <f t="shared" si="18"/>
        <v>8.9999999999999993E-3</v>
      </c>
      <c r="S71" s="1">
        <f t="shared" si="19"/>
        <v>1.0951441749999999</v>
      </c>
      <c r="T71" s="2">
        <f t="shared" si="20"/>
        <v>2.1627109723677825E-2</v>
      </c>
      <c r="U71" s="3">
        <f t="shared" si="21"/>
        <v>0.79945190662853527</v>
      </c>
      <c r="V71" s="5">
        <f t="shared" si="22"/>
        <v>97.27945541520937</v>
      </c>
      <c r="W71" s="5">
        <f t="shared" si="11"/>
        <v>1.9210926781620858</v>
      </c>
    </row>
    <row r="72" spans="1:23" x14ac:dyDescent="0.25">
      <c r="A72">
        <f t="shared" si="36"/>
        <v>98</v>
      </c>
      <c r="B72">
        <f t="shared" si="23"/>
        <v>2.94</v>
      </c>
      <c r="C72" s="3">
        <f t="shared" si="1"/>
        <v>2.9435409515298634</v>
      </c>
      <c r="D72" s="2">
        <f t="shared" si="24"/>
        <v>0.53069654166666669</v>
      </c>
      <c r="E72" s="2">
        <f t="shared" si="25"/>
        <v>0.19494975</v>
      </c>
      <c r="F72" s="2">
        <f t="shared" si="26"/>
        <v>0</v>
      </c>
      <c r="G72" s="2">
        <f t="shared" si="27"/>
        <v>0.34972213333333335</v>
      </c>
      <c r="H72" s="2">
        <f t="shared" si="28"/>
        <v>8.8306228545895916E-3</v>
      </c>
      <c r="I72" s="2">
        <f t="shared" si="29"/>
        <v>4.4153114272947958E-3</v>
      </c>
      <c r="J72" s="2">
        <f t="shared" si="30"/>
        <v>0</v>
      </c>
      <c r="K72" s="2">
        <f t="shared" si="31"/>
        <v>8.8306228545895916E-3</v>
      </c>
      <c r="L72" s="2">
        <f t="shared" si="32"/>
        <v>0</v>
      </c>
      <c r="M72" s="2">
        <f t="shared" si="33"/>
        <v>6.5608249999999993E-2</v>
      </c>
      <c r="N72" s="3">
        <f t="shared" si="34"/>
        <v>1.1720532321364741</v>
      </c>
      <c r="O72" s="3">
        <f t="shared" si="35"/>
        <v>4.41</v>
      </c>
      <c r="P72" s="3">
        <f t="shared" si="16"/>
        <v>79.003187834382544</v>
      </c>
      <c r="Q72">
        <f t="shared" si="17"/>
        <v>2.94</v>
      </c>
      <c r="R72" s="3">
        <f t="shared" si="18"/>
        <v>8.9999999999999993E-3</v>
      </c>
      <c r="S72" s="1">
        <f t="shared" si="19"/>
        <v>1.1409766750000001</v>
      </c>
      <c r="T72" s="2">
        <f t="shared" si="20"/>
        <v>2.2076557136473982E-2</v>
      </c>
      <c r="U72" s="3">
        <f t="shared" si="21"/>
        <v>0.76788321154956196</v>
      </c>
      <c r="V72" s="5">
        <f t="shared" si="22"/>
        <v>97.348537055793443</v>
      </c>
      <c r="W72" s="5">
        <f t="shared" si="11"/>
        <v>1.8835797326570047</v>
      </c>
    </row>
    <row r="73" spans="1:23" x14ac:dyDescent="0.25">
      <c r="A73">
        <f t="shared" si="36"/>
        <v>100</v>
      </c>
      <c r="B73">
        <f t="shared" si="23"/>
        <v>3</v>
      </c>
      <c r="C73" s="3">
        <f t="shared" si="1"/>
        <v>3.0034702151566832</v>
      </c>
      <c r="D73" s="2">
        <f t="shared" si="24"/>
        <v>0.55252604166666663</v>
      </c>
      <c r="E73" s="2">
        <f t="shared" si="25"/>
        <v>0.20296874999999998</v>
      </c>
      <c r="F73" s="2">
        <f t="shared" si="26"/>
        <v>0</v>
      </c>
      <c r="G73" s="2">
        <f t="shared" si="27"/>
        <v>0.36397813333333329</v>
      </c>
      <c r="H73" s="2">
        <f t="shared" si="28"/>
        <v>9.0104106454700489E-3</v>
      </c>
      <c r="I73" s="2">
        <f t="shared" si="29"/>
        <v>4.5052053227350244E-3</v>
      </c>
      <c r="J73" s="2">
        <f t="shared" si="30"/>
        <v>0</v>
      </c>
      <c r="K73" s="2">
        <f t="shared" si="31"/>
        <v>9.0104106454700489E-3</v>
      </c>
      <c r="L73" s="2">
        <f t="shared" si="32"/>
        <v>0</v>
      </c>
      <c r="M73" s="2">
        <f t="shared" si="33"/>
        <v>6.8281249999999988E-2</v>
      </c>
      <c r="N73" s="3">
        <f t="shared" si="34"/>
        <v>1.2192802016136748</v>
      </c>
      <c r="O73" s="3">
        <f t="shared" si="35"/>
        <v>4.5</v>
      </c>
      <c r="P73" s="3">
        <f t="shared" si="16"/>
        <v>78.68122982906732</v>
      </c>
      <c r="Q73">
        <f t="shared" si="17"/>
        <v>3</v>
      </c>
      <c r="R73" s="3">
        <f t="shared" si="18"/>
        <v>8.9999999999999993E-3</v>
      </c>
      <c r="S73" s="1">
        <f t="shared" si="19"/>
        <v>1.1877541749999998</v>
      </c>
      <c r="T73" s="2">
        <f t="shared" si="20"/>
        <v>2.2526026613675122E-2</v>
      </c>
      <c r="U73" s="3">
        <f t="shared" si="21"/>
        <v>0.73814041990420354</v>
      </c>
      <c r="V73" s="5">
        <f t="shared" si="22"/>
        <v>97.414373941941207</v>
      </c>
      <c r="W73" s="5">
        <f t="shared" si="11"/>
        <v>1.8474856381546025</v>
      </c>
    </row>
    <row r="74" spans="1:23" x14ac:dyDescent="0.25">
      <c r="C74" s="3"/>
      <c r="D74" s="4"/>
      <c r="E74" s="7"/>
      <c r="F74" s="7"/>
      <c r="G74" s="7"/>
      <c r="H74" s="7"/>
      <c r="J74" s="1"/>
      <c r="L74" s="1"/>
      <c r="M74" s="3"/>
      <c r="N74" s="3"/>
      <c r="O74" s="3"/>
      <c r="P74" s="3"/>
      <c r="Q74" s="3"/>
      <c r="R74" s="1"/>
      <c r="S74" s="2"/>
      <c r="T74" s="3"/>
      <c r="U74" s="5"/>
      <c r="V74" s="5"/>
    </row>
    <row r="75" spans="1:23" x14ac:dyDescent="0.25">
      <c r="C75" s="3"/>
      <c r="D75" s="4"/>
      <c r="E75" s="7"/>
      <c r="F75" s="7"/>
      <c r="G75" s="7"/>
      <c r="H75" s="7"/>
      <c r="J75" s="1"/>
      <c r="L75" s="1"/>
      <c r="M75" s="3"/>
      <c r="N75" s="3"/>
      <c r="O75" s="3"/>
      <c r="P75" s="3"/>
      <c r="Q75" s="3"/>
      <c r="R75" s="1"/>
      <c r="S75" s="2"/>
      <c r="T75" s="3"/>
      <c r="U75" s="5"/>
      <c r="V75" s="5"/>
    </row>
    <row r="76" spans="1:23" x14ac:dyDescent="0.25">
      <c r="C76" s="3"/>
      <c r="D76" s="4"/>
      <c r="E76" s="7"/>
      <c r="F76" s="7"/>
      <c r="G76" s="7"/>
      <c r="H76" s="7"/>
      <c r="J76" s="1"/>
      <c r="L76" s="1"/>
      <c r="M76" s="3"/>
      <c r="N76" s="3"/>
      <c r="O76" s="3"/>
      <c r="P76" s="3"/>
      <c r="Q76" s="3"/>
      <c r="R76" s="1"/>
      <c r="S76" s="2"/>
      <c r="T76" s="3"/>
      <c r="U76" s="5"/>
      <c r="V76" s="5"/>
    </row>
    <row r="77" spans="1:23" x14ac:dyDescent="0.25">
      <c r="C77" s="3"/>
      <c r="D77" s="4"/>
      <c r="E77" s="7"/>
      <c r="F77" s="7"/>
      <c r="G77" s="7"/>
      <c r="H77" s="7"/>
      <c r="J77" s="1"/>
      <c r="L77" s="1"/>
      <c r="M77" s="3"/>
      <c r="N77" s="3"/>
      <c r="O77" s="3"/>
      <c r="P77" s="3"/>
      <c r="Q77" s="3"/>
      <c r="R77" s="1"/>
      <c r="S77" s="2"/>
      <c r="T77" s="3"/>
      <c r="U77" s="5"/>
      <c r="V77" s="5"/>
    </row>
    <row r="78" spans="1:23" x14ac:dyDescent="0.25">
      <c r="C78" s="3"/>
      <c r="D78" s="4"/>
      <c r="E78" s="7"/>
      <c r="F78" s="7"/>
      <c r="G78" s="7"/>
      <c r="H78" s="7"/>
      <c r="J78" s="1"/>
      <c r="L78" s="1"/>
      <c r="M78" s="3"/>
      <c r="N78" s="3"/>
      <c r="O78" s="3"/>
      <c r="P78" s="3"/>
      <c r="Q78" s="3"/>
      <c r="R78" s="1"/>
      <c r="S78" s="2"/>
      <c r="T78" s="3"/>
      <c r="U78" s="5"/>
      <c r="V78" s="5"/>
    </row>
    <row r="79" spans="1:23" x14ac:dyDescent="0.25">
      <c r="C79" s="3"/>
      <c r="D79" s="4"/>
      <c r="E79" s="7"/>
      <c r="F79" s="7"/>
      <c r="G79" s="7"/>
      <c r="H79" s="7"/>
      <c r="J79" s="1"/>
      <c r="L79" s="1"/>
      <c r="M79" s="3"/>
      <c r="N79" s="3"/>
      <c r="O79" s="3"/>
      <c r="P79" s="3"/>
      <c r="Q79" s="3"/>
      <c r="R79" s="1"/>
      <c r="S79" s="2"/>
      <c r="T79" s="3"/>
      <c r="U79" s="5"/>
      <c r="V79" s="5"/>
    </row>
    <row r="80" spans="1:23" x14ac:dyDescent="0.25">
      <c r="C80" s="3"/>
      <c r="D80" s="4"/>
      <c r="E80" s="7"/>
      <c r="F80" s="7"/>
      <c r="G80" s="7"/>
      <c r="H80" s="7"/>
      <c r="J80" s="1"/>
      <c r="L80" s="1"/>
      <c r="M80" s="3"/>
      <c r="N80" s="3"/>
      <c r="O80" s="3"/>
      <c r="P80" s="3"/>
      <c r="Q80" s="3"/>
      <c r="R80" s="1"/>
      <c r="S80" s="2"/>
      <c r="T80" s="3"/>
      <c r="U80" s="5"/>
      <c r="V80" s="5"/>
    </row>
    <row r="81" spans="3:22" x14ac:dyDescent="0.25">
      <c r="C81" s="3"/>
      <c r="D81" s="4"/>
      <c r="E81" s="7"/>
      <c r="F81" s="7"/>
      <c r="G81" s="7"/>
      <c r="H81" s="7"/>
      <c r="J81" s="1"/>
      <c r="L81" s="1"/>
      <c r="M81" s="3"/>
      <c r="N81" s="3"/>
      <c r="O81" s="3"/>
      <c r="P81" s="3"/>
      <c r="Q81" s="3"/>
      <c r="R81" s="1"/>
      <c r="S81" s="2"/>
      <c r="T81" s="3"/>
      <c r="U81" s="5"/>
      <c r="V81" s="5"/>
    </row>
    <row r="82" spans="3:22" x14ac:dyDescent="0.25">
      <c r="C82" s="3"/>
      <c r="D82" s="4"/>
      <c r="E82" s="7"/>
      <c r="F82" s="7"/>
      <c r="G82" s="7"/>
      <c r="H82" s="7"/>
      <c r="J82" s="1"/>
      <c r="L82" s="1"/>
      <c r="M82" s="3"/>
      <c r="N82" s="3"/>
      <c r="O82" s="3"/>
      <c r="P82" s="3"/>
      <c r="Q82" s="3"/>
      <c r="R82" s="1"/>
      <c r="S82" s="2"/>
      <c r="T82" s="3"/>
      <c r="U82" s="5"/>
      <c r="V82" s="5"/>
    </row>
    <row r="83" spans="3:22" x14ac:dyDescent="0.25">
      <c r="C83" s="3"/>
      <c r="D83" s="4"/>
      <c r="E83" s="7"/>
      <c r="F83" s="7"/>
      <c r="G83" s="7"/>
      <c r="H83" s="7"/>
      <c r="J83" s="1"/>
      <c r="L83" s="1"/>
      <c r="M83" s="3"/>
      <c r="N83" s="3"/>
      <c r="O83" s="3"/>
      <c r="P83" s="3"/>
      <c r="Q83" s="3"/>
      <c r="R83" s="1"/>
      <c r="S83" s="2"/>
      <c r="T83" s="3"/>
      <c r="U83" s="5"/>
      <c r="V83" s="5"/>
    </row>
    <row r="84" spans="3:22" x14ac:dyDescent="0.25">
      <c r="C84" s="3"/>
      <c r="D84" s="4"/>
      <c r="E84" s="7"/>
      <c r="F84" s="7"/>
      <c r="G84" s="7"/>
      <c r="H84" s="7"/>
      <c r="J84" s="1"/>
      <c r="L84" s="1"/>
      <c r="M84" s="3"/>
      <c r="N84" s="3"/>
      <c r="O84" s="3"/>
      <c r="P84" s="3"/>
      <c r="Q84" s="3"/>
      <c r="R84" s="1"/>
      <c r="S84" s="2"/>
      <c r="T84" s="3"/>
      <c r="U84" s="5"/>
      <c r="V84" s="5"/>
    </row>
    <row r="85" spans="3:22" x14ac:dyDescent="0.25">
      <c r="C85" s="3"/>
      <c r="D85" s="4"/>
      <c r="E85" s="7"/>
      <c r="F85" s="7"/>
      <c r="G85" s="7"/>
      <c r="H85" s="7"/>
      <c r="J85" s="1"/>
      <c r="L85" s="1"/>
      <c r="M85" s="3"/>
      <c r="N85" s="3"/>
      <c r="O85" s="3"/>
      <c r="P85" s="3"/>
      <c r="Q85" s="3"/>
      <c r="R85" s="1"/>
      <c r="S85" s="2"/>
      <c r="T85" s="3"/>
      <c r="U85" s="5"/>
      <c r="V85" s="5"/>
    </row>
    <row r="86" spans="3:22" x14ac:dyDescent="0.25">
      <c r="C86" s="3"/>
      <c r="D86" s="4"/>
      <c r="E86" s="7"/>
      <c r="F86" s="7"/>
      <c r="G86" s="7"/>
      <c r="H86" s="7"/>
      <c r="J86" s="1"/>
      <c r="L86" s="1"/>
      <c r="M86" s="3"/>
      <c r="N86" s="3"/>
      <c r="O86" s="3"/>
      <c r="P86" s="3"/>
      <c r="Q86" s="3"/>
      <c r="R86" s="1"/>
      <c r="S86" s="2"/>
      <c r="T86" s="3"/>
      <c r="U86" s="5"/>
      <c r="V86" s="5"/>
    </row>
    <row r="87" spans="3:22" x14ac:dyDescent="0.25">
      <c r="C87" s="3"/>
      <c r="D87" s="4"/>
      <c r="E87" s="7"/>
      <c r="F87" s="7"/>
      <c r="G87" s="7"/>
      <c r="H87" s="7"/>
      <c r="J87" s="1"/>
      <c r="L87" s="1"/>
      <c r="M87" s="3"/>
      <c r="N87" s="3"/>
      <c r="O87" s="3"/>
      <c r="P87" s="3"/>
      <c r="Q87" s="3"/>
      <c r="R87" s="1"/>
      <c r="S87" s="2"/>
      <c r="T87" s="3"/>
      <c r="U87" s="5"/>
      <c r="V87" s="5"/>
    </row>
    <row r="88" spans="3:22" x14ac:dyDescent="0.25">
      <c r="C88" s="3"/>
      <c r="D88" s="4"/>
      <c r="E88" s="7"/>
      <c r="F88" s="7"/>
      <c r="G88" s="7"/>
      <c r="H88" s="7"/>
      <c r="J88" s="1"/>
      <c r="L88" s="1"/>
      <c r="M88" s="3"/>
      <c r="N88" s="3"/>
      <c r="O88" s="3"/>
      <c r="P88" s="3"/>
      <c r="Q88" s="3"/>
      <c r="R88" s="1"/>
      <c r="S88" s="2"/>
      <c r="T88" s="3"/>
      <c r="U88" s="5"/>
      <c r="V88" s="5"/>
    </row>
    <row r="89" spans="3:22" x14ac:dyDescent="0.25">
      <c r="C89" s="3"/>
      <c r="D89" s="4"/>
      <c r="E89" s="7"/>
      <c r="F89" s="7"/>
      <c r="G89" s="7"/>
      <c r="H89" s="7"/>
      <c r="J89" s="1"/>
      <c r="L89" s="1"/>
      <c r="M89" s="3"/>
      <c r="N89" s="3"/>
      <c r="O89" s="3"/>
      <c r="P89" s="3"/>
      <c r="Q89" s="3"/>
      <c r="R89" s="1"/>
      <c r="S89" s="2"/>
      <c r="T89" s="3"/>
      <c r="U89" s="5"/>
      <c r="V89" s="5"/>
    </row>
    <row r="90" spans="3:22" x14ac:dyDescent="0.25">
      <c r="C90" s="3"/>
      <c r="D90" s="4"/>
      <c r="E90" s="7"/>
      <c r="F90" s="7"/>
      <c r="G90" s="7"/>
      <c r="H90" s="7"/>
      <c r="J90" s="1"/>
      <c r="L90" s="1"/>
      <c r="M90" s="3"/>
      <c r="N90" s="3"/>
      <c r="O90" s="3"/>
      <c r="P90" s="3"/>
      <c r="Q90" s="3"/>
      <c r="R90" s="1"/>
      <c r="S90" s="2"/>
      <c r="T90" s="3"/>
      <c r="U90" s="5"/>
      <c r="V90" s="5"/>
    </row>
    <row r="91" spans="3:22" x14ac:dyDescent="0.25">
      <c r="C91" s="3"/>
      <c r="D91" s="4"/>
      <c r="E91" s="7"/>
      <c r="F91" s="7"/>
      <c r="G91" s="7"/>
      <c r="H91" s="7"/>
      <c r="J91" s="1"/>
      <c r="L91" s="1"/>
      <c r="M91" s="3"/>
      <c r="N91" s="3"/>
      <c r="O91" s="3"/>
      <c r="P91" s="3"/>
      <c r="Q91" s="3"/>
      <c r="R91" s="1"/>
      <c r="S91" s="2"/>
      <c r="T91" s="3"/>
      <c r="U91" s="5"/>
      <c r="V91" s="5"/>
    </row>
    <row r="92" spans="3:22" x14ac:dyDescent="0.25">
      <c r="C92" s="3"/>
      <c r="D92" s="4"/>
      <c r="E92" s="7"/>
      <c r="F92" s="7"/>
      <c r="G92" s="7"/>
      <c r="H92" s="7"/>
      <c r="J92" s="1"/>
      <c r="L92" s="1"/>
      <c r="M92" s="3"/>
      <c r="N92" s="3"/>
      <c r="O92" s="3"/>
      <c r="P92" s="3"/>
      <c r="Q92" s="3"/>
      <c r="R92" s="1"/>
      <c r="S92" s="2"/>
      <c r="T92" s="3"/>
      <c r="U92" s="5"/>
      <c r="V92" s="5"/>
    </row>
    <row r="93" spans="3:22" x14ac:dyDescent="0.25">
      <c r="C93" s="3"/>
      <c r="D93" s="4"/>
      <c r="E93" s="7"/>
      <c r="F93" s="7"/>
      <c r="G93" s="7"/>
      <c r="H93" s="7"/>
      <c r="J93" s="1"/>
      <c r="L93" s="1"/>
      <c r="M93" s="3"/>
      <c r="N93" s="3"/>
      <c r="O93" s="3"/>
      <c r="P93" s="3"/>
      <c r="Q93" s="3"/>
      <c r="R93" s="1"/>
      <c r="S93" s="2"/>
      <c r="T93" s="3"/>
      <c r="U93" s="5"/>
      <c r="V93" s="5"/>
    </row>
    <row r="94" spans="3:22" x14ac:dyDescent="0.25">
      <c r="C94" s="3"/>
      <c r="D94" s="4"/>
      <c r="E94" s="7"/>
      <c r="F94" s="7"/>
      <c r="G94" s="7"/>
      <c r="H94" s="7"/>
      <c r="J94" s="1"/>
      <c r="L94" s="1"/>
      <c r="M94" s="3"/>
      <c r="N94" s="3"/>
      <c r="O94" s="3"/>
      <c r="P94" s="3"/>
      <c r="Q94" s="3"/>
      <c r="R94" s="1"/>
      <c r="S94" s="2"/>
      <c r="T94" s="3"/>
      <c r="U94" s="5"/>
      <c r="V94" s="5"/>
    </row>
    <row r="95" spans="3:22" x14ac:dyDescent="0.25">
      <c r="C95" s="3"/>
      <c r="D95" s="4"/>
      <c r="E95" s="7"/>
      <c r="F95" s="7"/>
      <c r="G95" s="7"/>
      <c r="H95" s="7"/>
      <c r="J95" s="1"/>
      <c r="L95" s="1"/>
      <c r="M95" s="3"/>
      <c r="N95" s="3"/>
      <c r="O95" s="3"/>
      <c r="P95" s="3"/>
      <c r="Q95" s="3"/>
      <c r="R95" s="1"/>
      <c r="S95" s="2"/>
      <c r="T95" s="3"/>
      <c r="U95" s="5"/>
      <c r="V95" s="5"/>
    </row>
    <row r="96" spans="3:22" x14ac:dyDescent="0.25">
      <c r="C96" s="3"/>
      <c r="D96" s="4"/>
      <c r="E96" s="7"/>
      <c r="F96" s="7"/>
      <c r="G96" s="7"/>
      <c r="H96" s="7"/>
      <c r="J96" s="1"/>
      <c r="L96" s="1"/>
      <c r="M96" s="3"/>
      <c r="N96" s="3"/>
      <c r="O96" s="3"/>
      <c r="P96" s="3"/>
      <c r="Q96" s="3"/>
      <c r="R96" s="1"/>
      <c r="S96" s="2"/>
      <c r="T96" s="3"/>
      <c r="U96" s="5"/>
      <c r="V96" s="5"/>
    </row>
    <row r="97" spans="3:22" x14ac:dyDescent="0.25">
      <c r="C97" s="3"/>
      <c r="D97" s="4"/>
      <c r="E97" s="7"/>
      <c r="F97" s="7"/>
      <c r="G97" s="7"/>
      <c r="H97" s="7"/>
      <c r="J97" s="1"/>
      <c r="L97" s="1"/>
      <c r="M97" s="3"/>
      <c r="N97" s="3"/>
      <c r="O97" s="3"/>
      <c r="P97" s="3"/>
      <c r="Q97" s="3"/>
      <c r="R97" s="1"/>
      <c r="S97" s="2"/>
      <c r="T97" s="3"/>
      <c r="U97" s="5"/>
      <c r="V97" s="5"/>
    </row>
    <row r="98" spans="3:22" x14ac:dyDescent="0.25">
      <c r="C98" s="3"/>
      <c r="D98" s="4"/>
      <c r="E98" s="7"/>
      <c r="F98" s="7"/>
      <c r="G98" s="7"/>
      <c r="H98" s="7"/>
      <c r="J98" s="1"/>
      <c r="L98" s="1"/>
      <c r="M98" s="3"/>
      <c r="N98" s="3"/>
      <c r="O98" s="3"/>
      <c r="P98" s="3"/>
      <c r="Q98" s="3"/>
      <c r="R98" s="1"/>
      <c r="S98" s="2"/>
      <c r="T98" s="3"/>
      <c r="U98" s="5"/>
      <c r="V98" s="5"/>
    </row>
    <row r="99" spans="3:22" x14ac:dyDescent="0.25">
      <c r="C99" s="3"/>
      <c r="D99" s="4"/>
      <c r="E99" s="7"/>
      <c r="F99" s="7"/>
      <c r="G99" s="7"/>
      <c r="H99" s="7"/>
      <c r="J99" s="1"/>
      <c r="L99" s="1"/>
      <c r="M99" s="3"/>
      <c r="N99" s="3"/>
      <c r="O99" s="3"/>
      <c r="P99" s="3"/>
      <c r="Q99" s="3"/>
      <c r="R99" s="1"/>
      <c r="S99" s="2"/>
      <c r="T99" s="3"/>
      <c r="U99" s="5"/>
      <c r="V99" s="5"/>
    </row>
    <row r="100" spans="3:22" x14ac:dyDescent="0.25">
      <c r="C100" s="3"/>
      <c r="D100" s="4"/>
      <c r="E100" s="7"/>
      <c r="F100" s="7"/>
      <c r="G100" s="7"/>
      <c r="H100" s="7"/>
      <c r="J100" s="1"/>
      <c r="L100" s="1"/>
      <c r="M100" s="3"/>
      <c r="N100" s="3"/>
      <c r="O100" s="3"/>
      <c r="P100" s="3"/>
      <c r="Q100" s="3"/>
      <c r="R100" s="1"/>
      <c r="S100" s="2"/>
      <c r="T100" s="3"/>
      <c r="U100" s="5"/>
      <c r="V100" s="5"/>
    </row>
    <row r="101" spans="3:22" x14ac:dyDescent="0.25">
      <c r="C101" s="3"/>
      <c r="D101" s="4"/>
      <c r="E101" s="7"/>
      <c r="F101" s="7"/>
      <c r="G101" s="7"/>
      <c r="H101" s="7"/>
      <c r="J101" s="1"/>
      <c r="L101" s="1"/>
      <c r="M101" s="3"/>
      <c r="N101" s="3"/>
      <c r="O101" s="3"/>
      <c r="P101" s="3"/>
      <c r="Q101" s="3"/>
      <c r="R101" s="1"/>
      <c r="S101" s="2"/>
      <c r="T101" s="3"/>
      <c r="U101" s="5"/>
      <c r="V101" s="5"/>
    </row>
    <row r="102" spans="3:22" x14ac:dyDescent="0.25">
      <c r="C102" s="3"/>
      <c r="D102" s="4"/>
      <c r="E102" s="7"/>
      <c r="F102" s="7"/>
      <c r="G102" s="7"/>
      <c r="H102" s="7"/>
      <c r="J102" s="1"/>
      <c r="L102" s="1"/>
      <c r="M102" s="3"/>
      <c r="N102" s="3"/>
      <c r="O102" s="3"/>
      <c r="P102" s="3"/>
      <c r="Q102" s="3"/>
      <c r="R102" s="1"/>
      <c r="S102" s="2"/>
      <c r="T102" s="3"/>
      <c r="U102" s="5"/>
      <c r="V102" s="5"/>
    </row>
    <row r="103" spans="3:22" x14ac:dyDescent="0.25">
      <c r="C103" s="3"/>
      <c r="D103" s="4"/>
      <c r="E103" s="7"/>
      <c r="F103" s="7"/>
      <c r="G103" s="7"/>
      <c r="H103" s="7"/>
      <c r="J103" s="1"/>
      <c r="L103" s="1"/>
      <c r="M103" s="3"/>
      <c r="N103" s="3"/>
      <c r="O103" s="3"/>
      <c r="P103" s="3"/>
      <c r="Q103" s="3"/>
      <c r="R103" s="1"/>
      <c r="S103" s="2"/>
      <c r="T103" s="3"/>
      <c r="U103" s="5"/>
      <c r="V103" s="5"/>
    </row>
    <row r="104" spans="3:22" x14ac:dyDescent="0.25">
      <c r="C104" s="3"/>
      <c r="D104" s="4"/>
      <c r="E104" s="7"/>
      <c r="F104" s="7"/>
      <c r="G104" s="7"/>
      <c r="H104" s="7"/>
      <c r="J104" s="1"/>
      <c r="L104" s="1"/>
      <c r="M104" s="3"/>
      <c r="N104" s="3"/>
      <c r="O104" s="3"/>
      <c r="P104" s="3"/>
      <c r="Q104" s="3"/>
      <c r="R104" s="1"/>
      <c r="S104" s="2"/>
      <c r="T104" s="3"/>
      <c r="U104" s="5"/>
      <c r="V104" s="5"/>
    </row>
    <row r="105" spans="3:22" x14ac:dyDescent="0.25">
      <c r="C105" s="3"/>
      <c r="D105" s="4"/>
      <c r="E105" s="7"/>
      <c r="F105" s="7"/>
      <c r="G105" s="7"/>
      <c r="H105" s="7"/>
      <c r="J105" s="1"/>
      <c r="L105" s="1"/>
      <c r="M105" s="3"/>
      <c r="N105" s="3"/>
      <c r="O105" s="3"/>
      <c r="P105" s="3"/>
      <c r="Q105" s="3"/>
      <c r="R105" s="1"/>
      <c r="S105" s="2"/>
      <c r="T105" s="3"/>
      <c r="U105" s="5"/>
      <c r="V105" s="5"/>
    </row>
    <row r="106" spans="3:22" x14ac:dyDescent="0.25">
      <c r="C106" s="3"/>
      <c r="D106" s="4"/>
      <c r="E106" s="7"/>
      <c r="F106" s="7"/>
      <c r="G106" s="7"/>
      <c r="H106" s="7"/>
      <c r="J106" s="1"/>
      <c r="L106" s="1"/>
      <c r="M106" s="3"/>
      <c r="N106" s="3"/>
      <c r="O106" s="3"/>
      <c r="P106" s="3"/>
      <c r="Q106" s="3"/>
      <c r="R106" s="1"/>
      <c r="S106" s="2"/>
      <c r="T106" s="3"/>
      <c r="U106" s="5"/>
      <c r="V106" s="5"/>
    </row>
    <row r="107" spans="3:22" x14ac:dyDescent="0.25">
      <c r="C107" s="3"/>
      <c r="D107" s="4"/>
      <c r="E107" s="7"/>
      <c r="F107" s="7"/>
      <c r="G107" s="7"/>
      <c r="H107" s="7"/>
      <c r="J107" s="1"/>
      <c r="L107" s="1"/>
      <c r="M107" s="3"/>
      <c r="N107" s="3"/>
      <c r="O107" s="3"/>
      <c r="P107" s="3"/>
      <c r="Q107" s="3"/>
      <c r="R107" s="1"/>
      <c r="S107" s="2"/>
      <c r="T107" s="3"/>
      <c r="U107" s="5"/>
      <c r="V107" s="5"/>
    </row>
    <row r="108" spans="3:22" x14ac:dyDescent="0.25">
      <c r="C108" s="3"/>
      <c r="D108" s="4"/>
      <c r="E108" s="7"/>
      <c r="F108" s="7"/>
      <c r="G108" s="7"/>
      <c r="H108" s="7"/>
      <c r="J108" s="1"/>
      <c r="L108" s="1"/>
      <c r="M108" s="3"/>
      <c r="N108" s="3"/>
      <c r="O108" s="3"/>
      <c r="P108" s="3"/>
      <c r="Q108" s="3"/>
      <c r="R108" s="1"/>
      <c r="S108" s="2"/>
      <c r="T108" s="3"/>
      <c r="U108" s="5"/>
      <c r="V108" s="5"/>
    </row>
    <row r="109" spans="3:22" x14ac:dyDescent="0.25">
      <c r="C109" s="3"/>
      <c r="D109" s="4"/>
      <c r="E109" s="7"/>
      <c r="F109" s="7"/>
      <c r="G109" s="7"/>
      <c r="H109" s="7"/>
      <c r="J109" s="1"/>
      <c r="L109" s="1"/>
      <c r="M109" s="3"/>
      <c r="N109" s="3"/>
      <c r="O109" s="3"/>
      <c r="P109" s="3"/>
      <c r="Q109" s="3"/>
      <c r="R109" s="1"/>
      <c r="S109" s="2"/>
      <c r="T109" s="3"/>
      <c r="U109" s="5"/>
      <c r="V109" s="5"/>
    </row>
    <row r="110" spans="3:22" x14ac:dyDescent="0.25">
      <c r="C110" s="3"/>
      <c r="D110" s="4"/>
      <c r="E110" s="7"/>
      <c r="F110" s="7"/>
      <c r="G110" s="7"/>
      <c r="H110" s="7"/>
      <c r="J110" s="1"/>
      <c r="L110" s="1"/>
      <c r="M110" s="3"/>
      <c r="N110" s="3"/>
      <c r="O110" s="3"/>
      <c r="P110" s="3"/>
      <c r="Q110" s="3"/>
      <c r="R110" s="1"/>
      <c r="S110" s="2"/>
      <c r="T110" s="3"/>
      <c r="U110" s="5"/>
      <c r="V110" s="5"/>
    </row>
    <row r="111" spans="3:22" x14ac:dyDescent="0.25">
      <c r="C111" s="3"/>
      <c r="D111" s="4"/>
      <c r="E111" s="7"/>
      <c r="F111" s="7"/>
      <c r="G111" s="7"/>
      <c r="H111" s="7"/>
      <c r="J111" s="1"/>
      <c r="L111" s="1"/>
      <c r="M111" s="3"/>
      <c r="N111" s="3"/>
      <c r="O111" s="3"/>
      <c r="P111" s="3"/>
      <c r="Q111" s="3"/>
      <c r="R111" s="1"/>
      <c r="S111" s="2"/>
      <c r="T111" s="3"/>
      <c r="U111" s="5"/>
      <c r="V111" s="5"/>
    </row>
    <row r="112" spans="3:22" x14ac:dyDescent="0.25">
      <c r="C112" s="3"/>
      <c r="D112" s="4"/>
      <c r="E112" s="7"/>
      <c r="F112" s="7"/>
      <c r="G112" s="7"/>
      <c r="H112" s="7"/>
      <c r="J112" s="1"/>
      <c r="L112" s="1"/>
      <c r="M112" s="3"/>
      <c r="N112" s="3"/>
      <c r="O112" s="3"/>
      <c r="P112" s="3"/>
      <c r="Q112" s="3"/>
      <c r="R112" s="1"/>
      <c r="S112" s="2"/>
      <c r="T112" s="3"/>
      <c r="U112" s="5"/>
      <c r="V112" s="5"/>
    </row>
    <row r="113" spans="3:22" x14ac:dyDescent="0.25">
      <c r="C113" s="3"/>
      <c r="D113" s="4"/>
      <c r="E113" s="7"/>
      <c r="F113" s="7"/>
      <c r="G113" s="7"/>
      <c r="H113" s="7"/>
      <c r="J113" s="1"/>
      <c r="L113" s="1"/>
      <c r="M113" s="3"/>
      <c r="N113" s="3"/>
      <c r="O113" s="3"/>
      <c r="P113" s="3"/>
      <c r="Q113" s="3"/>
      <c r="R113" s="1"/>
      <c r="S113" s="2"/>
      <c r="T113" s="3"/>
      <c r="U113" s="5"/>
      <c r="V113" s="5"/>
    </row>
    <row r="114" spans="3:22" x14ac:dyDescent="0.25">
      <c r="C114" s="3"/>
      <c r="D114" s="4"/>
      <c r="E114" s="7"/>
      <c r="F114" s="7"/>
      <c r="G114" s="7"/>
      <c r="H114" s="7"/>
      <c r="J114" s="1"/>
      <c r="L114" s="1"/>
      <c r="M114" s="3"/>
      <c r="N114" s="3"/>
      <c r="O114" s="3"/>
      <c r="P114" s="3"/>
      <c r="Q114" s="3"/>
      <c r="R114" s="1"/>
      <c r="S114" s="2"/>
      <c r="T114" s="3"/>
      <c r="U114" s="5"/>
      <c r="V114" s="5"/>
    </row>
    <row r="115" spans="3:22" x14ac:dyDescent="0.25">
      <c r="C115" s="3"/>
      <c r="D115" s="4"/>
      <c r="E115" s="7"/>
      <c r="F115" s="7"/>
      <c r="G115" s="7"/>
      <c r="H115" s="7"/>
      <c r="J115" s="1"/>
      <c r="L115" s="1"/>
      <c r="M115" s="3"/>
      <c r="N115" s="3"/>
      <c r="O115" s="3"/>
      <c r="P115" s="3"/>
      <c r="Q115" s="3"/>
      <c r="R115" s="1"/>
      <c r="S115" s="2"/>
      <c r="T115" s="3"/>
      <c r="U115" s="5"/>
      <c r="V115" s="5"/>
    </row>
    <row r="116" spans="3:22" x14ac:dyDescent="0.25">
      <c r="C116" s="3"/>
      <c r="D116" s="4"/>
      <c r="E116" s="7"/>
      <c r="F116" s="7"/>
      <c r="G116" s="7"/>
      <c r="H116" s="7"/>
      <c r="J116" s="1"/>
      <c r="L116" s="1"/>
      <c r="M116" s="3"/>
      <c r="N116" s="3"/>
      <c r="O116" s="3"/>
      <c r="P116" s="3"/>
      <c r="Q116" s="3"/>
      <c r="R116" s="1"/>
      <c r="S116" s="2"/>
      <c r="T116" s="3"/>
      <c r="U116" s="5"/>
      <c r="V116" s="5"/>
    </row>
    <row r="117" spans="3:22" x14ac:dyDescent="0.25">
      <c r="C117" s="3"/>
      <c r="D117" s="4"/>
      <c r="E117" s="7"/>
      <c r="F117" s="7"/>
      <c r="G117" s="7"/>
      <c r="H117" s="7"/>
      <c r="J117" s="1"/>
      <c r="L117" s="1"/>
      <c r="M117" s="3"/>
      <c r="N117" s="3"/>
      <c r="O117" s="3"/>
      <c r="P117" s="3"/>
      <c r="Q117" s="3"/>
      <c r="R117" s="1"/>
      <c r="S117" s="2"/>
      <c r="T117" s="3"/>
      <c r="U117" s="5"/>
      <c r="V117" s="5"/>
    </row>
    <row r="118" spans="3:22" x14ac:dyDescent="0.25">
      <c r="C118" s="3"/>
      <c r="D118" s="4"/>
      <c r="E118" s="7"/>
      <c r="F118" s="7"/>
      <c r="G118" s="7"/>
      <c r="H118" s="7"/>
      <c r="J118" s="1"/>
      <c r="L118" s="1"/>
      <c r="M118" s="3"/>
      <c r="N118" s="3"/>
      <c r="O118" s="3"/>
      <c r="P118" s="3"/>
      <c r="Q118" s="3"/>
      <c r="R118" s="1"/>
      <c r="S118" s="2"/>
      <c r="T118" s="3"/>
      <c r="U118" s="5"/>
      <c r="V118" s="5"/>
    </row>
    <row r="119" spans="3:22" x14ac:dyDescent="0.25">
      <c r="C119" s="3"/>
      <c r="D119" s="4"/>
      <c r="E119" s="7"/>
      <c r="F119" s="7"/>
      <c r="G119" s="7"/>
      <c r="H119" s="7"/>
      <c r="J119" s="1"/>
      <c r="L119" s="1"/>
      <c r="M119" s="3"/>
      <c r="N119" s="3"/>
      <c r="O119" s="3"/>
      <c r="P119" s="3"/>
      <c r="Q119" s="3"/>
      <c r="R119" s="1"/>
      <c r="S119" s="2"/>
      <c r="T119" s="3"/>
      <c r="U119" s="5"/>
      <c r="V119" s="5"/>
    </row>
    <row r="120" spans="3:22" x14ac:dyDescent="0.25">
      <c r="C120" s="3"/>
      <c r="D120" s="4"/>
      <c r="E120" s="7"/>
      <c r="F120" s="7"/>
      <c r="G120" s="7"/>
      <c r="H120" s="7"/>
      <c r="J120" s="1"/>
      <c r="L120" s="1"/>
      <c r="M120" s="3"/>
      <c r="N120" s="3"/>
      <c r="O120" s="3"/>
      <c r="P120" s="3"/>
      <c r="Q120" s="3"/>
      <c r="R120" s="1"/>
      <c r="S120" s="2"/>
      <c r="T120" s="3"/>
      <c r="U120" s="5"/>
      <c r="V120" s="5"/>
    </row>
    <row r="121" spans="3:22" x14ac:dyDescent="0.25">
      <c r="C121" s="3"/>
      <c r="D121" s="4"/>
      <c r="E121" s="7"/>
      <c r="F121" s="7"/>
      <c r="G121" s="7"/>
      <c r="H121" s="7"/>
      <c r="J121" s="1"/>
      <c r="L121" s="1"/>
      <c r="M121" s="3"/>
      <c r="N121" s="3"/>
      <c r="O121" s="3"/>
      <c r="P121" s="3"/>
      <c r="Q121" s="3"/>
      <c r="R121" s="1"/>
      <c r="S121" s="2"/>
      <c r="T121" s="3"/>
      <c r="U121" s="5"/>
      <c r="V121" s="5"/>
    </row>
    <row r="122" spans="3:22" x14ac:dyDescent="0.25">
      <c r="C122" s="3"/>
      <c r="D122" s="4"/>
      <c r="E122" s="7"/>
      <c r="F122" s="7"/>
      <c r="G122" s="7"/>
      <c r="H122" s="7"/>
      <c r="J122" s="1"/>
      <c r="L122" s="1"/>
      <c r="M122" s="3"/>
      <c r="N122" s="3"/>
      <c r="O122" s="3"/>
      <c r="P122" s="3"/>
      <c r="Q122" s="3"/>
      <c r="R122" s="1"/>
      <c r="S122" s="2"/>
      <c r="T122" s="3"/>
      <c r="U122" s="5"/>
      <c r="V122" s="5"/>
    </row>
    <row r="123" spans="3:22" x14ac:dyDescent="0.25">
      <c r="C123" s="3"/>
      <c r="D123" s="4"/>
      <c r="E123" s="7"/>
      <c r="F123" s="7"/>
      <c r="G123" s="7"/>
      <c r="H123" s="7"/>
      <c r="J123" s="1"/>
      <c r="L123" s="1"/>
      <c r="M123" s="3"/>
      <c r="N123" s="3"/>
      <c r="O123" s="3"/>
      <c r="P123" s="3"/>
      <c r="Q123" s="3"/>
      <c r="R123" s="1"/>
      <c r="S123" s="2"/>
      <c r="T123" s="3"/>
      <c r="U123" s="5"/>
      <c r="V123" s="5"/>
    </row>
  </sheetData>
  <dataValidations count="4">
    <dataValidation type="list" allowBlank="1" showInputMessage="1" showErrorMessage="1" sqref="E3" xr:uid="{EF3E0013-DAC3-4204-B044-657214DEABEC}">
      <formula1>"1, 2, 3"</formula1>
    </dataValidation>
    <dataValidation type="list" allowBlank="1" showInputMessage="1" showErrorMessage="1" sqref="E4" xr:uid="{C10F128E-A061-44A2-A284-6A1A20DBD13B}">
      <formula1>"1, 2, 3, 4"</formula1>
    </dataValidation>
    <dataValidation type="list" allowBlank="1" showInputMessage="1" showErrorMessage="1" sqref="E2" xr:uid="{15010099-988A-4EA7-BA1E-F50F0B0D6D04}">
      <formula1>"1,2,4,6,8"</formula1>
    </dataValidation>
    <dataValidation type="list" allowBlank="1" showInputMessage="1" showErrorMessage="1" sqref="B5" xr:uid="{E8112458-FAA1-4366-B871-BDEE8AF4DD04}">
      <formula1>"3, 5.5"</formula1>
    </dataValidation>
  </dataValidations>
  <pageMargins left="0.7" right="0.7" top="0.75" bottom="0.75" header="0.3" footer="0.3"/>
  <pageSetup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852452C4-2484-453E-897E-6C9CDE3206A4}">
          <x14:formula1>
            <xm:f>Components!$C$20:$C$27</xm:f>
          </x14:formula1>
          <xm:sqref>B3:B4</xm:sqref>
        </x14:dataValidation>
        <x14:dataValidation type="list" allowBlank="1" showInputMessage="1" showErrorMessage="1" xr:uid="{2CF3648E-83EA-4FF2-9266-AFCA4C0BE6CD}">
          <x14:formula1>
            <xm:f>Components!$C$5:$C$10</xm:f>
          </x14:formula1>
          <xm:sqref>B2</xm:sqref>
        </x14:dataValidation>
        <x14:dataValidation type="list" allowBlank="1" showInputMessage="1" showErrorMessage="1" xr:uid="{D23036E9-8B54-4058-BDDA-C1C5EE6BDE8C}">
          <x14:formula1>
            <xm:f>'Operating Current'!$B$13:$B$22</xm:f>
          </x14:formula1>
          <xm:sqref>B8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44168C-171D-46D6-A6A5-3AB7C0C6CA61}">
  <dimension ref="C3"/>
  <sheetViews>
    <sheetView workbookViewId="0">
      <selection activeCell="R21" sqref="R21"/>
    </sheetView>
  </sheetViews>
  <sheetFormatPr defaultRowHeight="15" x14ac:dyDescent="0.25"/>
  <sheetData>
    <row r="3" spans="3:3" x14ac:dyDescent="0.25">
      <c r="C3" t="s">
        <v>16</v>
      </c>
    </row>
  </sheetData>
  <pageMargins left="0.7" right="0.7" top="0.75" bottom="0.75" header="0.3" footer="0.3"/>
  <pageSetup orientation="portrait" horizontalDpi="1200" verticalDpi="1200" r:id="rId1"/>
  <drawing r:id="rId2"/>
  <legacyDrawing r:id="rId3"/>
  <oleObjects>
    <mc:AlternateContent xmlns:mc="http://schemas.openxmlformats.org/markup-compatibility/2006">
      <mc:Choice Requires="x14">
        <oleObject progId="Acrobat Document" dvAspect="DVASPECT_ICON" shapeId="2049" r:id="rId4">
          <objectPr defaultSize="0" r:id="rId5">
            <anchor moveWithCells="1">
              <from>
                <xdr:col>2</xdr:col>
                <xdr:colOff>247650</xdr:colOff>
                <xdr:row>3</xdr:row>
                <xdr:rowOff>85725</xdr:rowOff>
              </from>
              <to>
                <xdr:col>3</xdr:col>
                <xdr:colOff>552450</xdr:colOff>
                <xdr:row>7</xdr:row>
                <xdr:rowOff>9525</xdr:rowOff>
              </to>
            </anchor>
          </objectPr>
        </oleObject>
      </mc:Choice>
      <mc:Fallback>
        <oleObject progId="Acrobat Document" dvAspect="DVASPECT_ICON" shapeId="2049" r:id="rId4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E664DC-2BB8-48DD-B695-E4C16BBAC2BF}">
  <dimension ref="A3:S27"/>
  <sheetViews>
    <sheetView zoomScaleNormal="100" workbookViewId="0">
      <selection activeCell="I12" sqref="I12"/>
    </sheetView>
  </sheetViews>
  <sheetFormatPr defaultRowHeight="15" x14ac:dyDescent="0.25"/>
  <cols>
    <col min="1" max="1" width="17.28515625" customWidth="1"/>
    <col min="2" max="2" width="14" customWidth="1"/>
    <col min="3" max="3" width="25" customWidth="1"/>
    <col min="4" max="4" width="9.85546875" customWidth="1"/>
    <col min="5" max="5" width="11.7109375" customWidth="1"/>
    <col min="6" max="6" width="14" customWidth="1"/>
    <col min="7" max="7" width="15.7109375" customWidth="1"/>
    <col min="8" max="8" width="16.5703125" customWidth="1"/>
    <col min="9" max="9" width="16" customWidth="1"/>
    <col min="10" max="11" width="14.85546875" customWidth="1"/>
    <col min="12" max="12" width="5" customWidth="1"/>
    <col min="14" max="15" width="18.42578125" customWidth="1"/>
    <col min="16" max="16" width="17.85546875" customWidth="1"/>
    <col min="17" max="17" width="17.28515625" customWidth="1"/>
    <col min="18" max="18" width="18.140625" customWidth="1"/>
    <col min="19" max="19" width="16.28515625" customWidth="1"/>
  </cols>
  <sheetData>
    <row r="3" spans="1:19" x14ac:dyDescent="0.25">
      <c r="B3" t="s">
        <v>87</v>
      </c>
    </row>
    <row r="4" spans="1:19" ht="45" x14ac:dyDescent="0.25">
      <c r="B4" t="s">
        <v>88</v>
      </c>
      <c r="C4" t="s">
        <v>100</v>
      </c>
      <c r="D4" s="6" t="s">
        <v>89</v>
      </c>
      <c r="E4" t="s">
        <v>90</v>
      </c>
      <c r="F4" s="6" t="s">
        <v>110</v>
      </c>
      <c r="G4" s="6" t="s">
        <v>101</v>
      </c>
      <c r="H4" s="6" t="s">
        <v>102</v>
      </c>
      <c r="I4" s="6" t="s">
        <v>103</v>
      </c>
      <c r="J4" s="6" t="s">
        <v>123</v>
      </c>
      <c r="L4" s="6"/>
      <c r="M4" s="11" t="s">
        <v>111</v>
      </c>
      <c r="N4" s="10" t="s">
        <v>137</v>
      </c>
      <c r="O4" s="10" t="s">
        <v>148</v>
      </c>
      <c r="P4" s="10" t="s">
        <v>149</v>
      </c>
      <c r="Q4" s="10" t="s">
        <v>120</v>
      </c>
      <c r="R4" s="10" t="s">
        <v>122</v>
      </c>
      <c r="S4" s="10" t="s">
        <v>121</v>
      </c>
    </row>
    <row r="5" spans="1:19" ht="30" x14ac:dyDescent="0.25">
      <c r="A5" s="6" t="s">
        <v>150</v>
      </c>
      <c r="B5" t="s">
        <v>99</v>
      </c>
      <c r="C5" t="s">
        <v>137</v>
      </c>
      <c r="D5">
        <v>2.2000000000000002</v>
      </c>
      <c r="E5">
        <v>22</v>
      </c>
      <c r="F5">
        <v>7</v>
      </c>
      <c r="G5">
        <v>15</v>
      </c>
      <c r="H5">
        <v>26</v>
      </c>
      <c r="I5">
        <v>33</v>
      </c>
      <c r="J5" s="3">
        <f>-0.000005*(Efficiency!B8)^2+0.0436*(Efficiency!B8)-5.6</f>
        <v>-1.2899999999999991</v>
      </c>
      <c r="M5" s="10">
        <v>300</v>
      </c>
      <c r="N5" s="10">
        <v>7</v>
      </c>
      <c r="O5" s="10">
        <v>8</v>
      </c>
      <c r="P5" s="10">
        <v>13</v>
      </c>
      <c r="Q5" s="10"/>
      <c r="R5" s="10"/>
    </row>
    <row r="6" spans="1:19" ht="30" x14ac:dyDescent="0.25">
      <c r="A6" s="6" t="s">
        <v>151</v>
      </c>
      <c r="B6" t="s">
        <v>99</v>
      </c>
      <c r="C6" t="s">
        <v>148</v>
      </c>
      <c r="D6">
        <v>4.7</v>
      </c>
      <c r="E6">
        <v>40.1</v>
      </c>
      <c r="F6">
        <v>8</v>
      </c>
      <c r="G6">
        <v>13</v>
      </c>
      <c r="H6">
        <v>19</v>
      </c>
      <c r="I6">
        <v>23</v>
      </c>
      <c r="J6" s="3">
        <f>-0.000005*(Efficiency!B8)^2+0.0277*(Efficiency!B8)+0.2155</f>
        <v>2.9355000000000002</v>
      </c>
      <c r="M6" s="10">
        <v>500</v>
      </c>
      <c r="N6" s="10">
        <v>15</v>
      </c>
      <c r="O6" s="10">
        <v>13</v>
      </c>
      <c r="P6" s="10">
        <v>22</v>
      </c>
      <c r="Q6" s="10"/>
      <c r="R6" s="10"/>
    </row>
    <row r="7" spans="1:19" ht="30" x14ac:dyDescent="0.25">
      <c r="A7" s="6" t="s">
        <v>152</v>
      </c>
      <c r="B7" t="s">
        <v>99</v>
      </c>
      <c r="C7" t="s">
        <v>149</v>
      </c>
      <c r="D7">
        <v>15</v>
      </c>
      <c r="E7">
        <v>40</v>
      </c>
      <c r="F7">
        <v>13</v>
      </c>
      <c r="G7">
        <v>22</v>
      </c>
      <c r="H7">
        <v>21</v>
      </c>
      <c r="I7">
        <v>20</v>
      </c>
      <c r="J7" s="3">
        <f>-0.00005*(Efficiency!B8)^2+0.073*(Efficiency!B8)-3.6552</f>
        <v>3.1448</v>
      </c>
      <c r="M7" s="10">
        <v>800</v>
      </c>
      <c r="N7" s="10">
        <v>26</v>
      </c>
      <c r="O7" s="10">
        <v>19</v>
      </c>
      <c r="P7" s="10">
        <v>21</v>
      </c>
      <c r="Q7" s="10"/>
      <c r="R7" s="10"/>
    </row>
    <row r="8" spans="1:19" x14ac:dyDescent="0.25">
      <c r="B8" t="s">
        <v>99</v>
      </c>
      <c r="C8" t="s">
        <v>153</v>
      </c>
      <c r="D8" t="s">
        <v>154</v>
      </c>
      <c r="J8" s="3">
        <f>0.0001*(Efficiency!B8)^2-0.0317*(Efficiency!B8)-2.724</f>
        <v>-4.8940000000000001</v>
      </c>
      <c r="M8" s="10">
        <v>1000</v>
      </c>
      <c r="N8" s="10">
        <v>33</v>
      </c>
      <c r="O8" s="10">
        <v>23</v>
      </c>
      <c r="P8" s="10">
        <v>20</v>
      </c>
      <c r="Q8" s="10"/>
      <c r="R8" s="10"/>
    </row>
    <row r="9" spans="1:19" x14ac:dyDescent="0.25">
      <c r="B9" t="s">
        <v>99</v>
      </c>
      <c r="C9" t="s">
        <v>153</v>
      </c>
      <c r="D9" t="s">
        <v>154</v>
      </c>
      <c r="J9" s="3">
        <f>0.0002*(Efficiency!B8)^2-0.0366*(Efficiency!B8)-2.3966</f>
        <v>-4.0565999999999995</v>
      </c>
      <c r="M9" s="10"/>
      <c r="N9" s="10"/>
      <c r="O9" s="10"/>
      <c r="P9" s="10"/>
      <c r="Q9" s="10"/>
    </row>
    <row r="10" spans="1:19" x14ac:dyDescent="0.25">
      <c r="B10" t="s">
        <v>99</v>
      </c>
      <c r="C10" t="s">
        <v>153</v>
      </c>
      <c r="D10" t="s">
        <v>154</v>
      </c>
      <c r="J10" s="3">
        <f>0.0007*(Efficiency!B8)^2+1.2817*(Efficiency!B8)+41.888</f>
        <v>177.05800000000002</v>
      </c>
      <c r="M10" s="10"/>
      <c r="N10" s="10"/>
      <c r="O10" s="10"/>
      <c r="P10" s="10"/>
      <c r="Q10" s="10"/>
    </row>
    <row r="12" spans="1:19" x14ac:dyDescent="0.25">
      <c r="B12" t="s">
        <v>125</v>
      </c>
    </row>
    <row r="13" spans="1:19" x14ac:dyDescent="0.25">
      <c r="B13" t="s">
        <v>124</v>
      </c>
    </row>
    <row r="18" spans="2:8" x14ac:dyDescent="0.25">
      <c r="B18" t="s">
        <v>91</v>
      </c>
    </row>
    <row r="19" spans="2:8" x14ac:dyDescent="0.25">
      <c r="B19" t="s">
        <v>88</v>
      </c>
      <c r="C19" t="s">
        <v>100</v>
      </c>
      <c r="D19" t="s">
        <v>105</v>
      </c>
      <c r="E19" t="s">
        <v>92</v>
      </c>
      <c r="F19" t="s">
        <v>93</v>
      </c>
      <c r="G19" t="s">
        <v>94</v>
      </c>
      <c r="H19" t="s">
        <v>95</v>
      </c>
    </row>
    <row r="20" spans="2:8" x14ac:dyDescent="0.25">
      <c r="B20" t="s">
        <v>104</v>
      </c>
      <c r="C20" t="s">
        <v>138</v>
      </c>
      <c r="E20">
        <f>160/2</f>
        <v>80</v>
      </c>
    </row>
    <row r="21" spans="2:8" x14ac:dyDescent="0.25">
      <c r="B21" t="s">
        <v>104</v>
      </c>
      <c r="C21" t="s">
        <v>142</v>
      </c>
      <c r="E21">
        <f>245/2</f>
        <v>122.5</v>
      </c>
    </row>
    <row r="22" spans="2:8" x14ac:dyDescent="0.25">
      <c r="B22" t="s">
        <v>104</v>
      </c>
      <c r="C22" t="s">
        <v>139</v>
      </c>
      <c r="E22">
        <f>130/2</f>
        <v>65</v>
      </c>
    </row>
    <row r="23" spans="2:8" x14ac:dyDescent="0.25">
      <c r="B23" t="s">
        <v>104</v>
      </c>
      <c r="C23" t="s">
        <v>143</v>
      </c>
      <c r="E23">
        <f>210/2</f>
        <v>105</v>
      </c>
    </row>
    <row r="24" spans="2:8" x14ac:dyDescent="0.25">
      <c r="B24" t="s">
        <v>104</v>
      </c>
      <c r="C24" t="s">
        <v>140</v>
      </c>
      <c r="E24">
        <f>90/2</f>
        <v>45</v>
      </c>
    </row>
    <row r="25" spans="2:8" x14ac:dyDescent="0.25">
      <c r="B25" t="s">
        <v>104</v>
      </c>
      <c r="C25" t="s">
        <v>144</v>
      </c>
      <c r="E25">
        <f>160/2</f>
        <v>80</v>
      </c>
    </row>
    <row r="26" spans="2:8" x14ac:dyDescent="0.25">
      <c r="B26" t="s">
        <v>104</v>
      </c>
      <c r="C26" t="s">
        <v>141</v>
      </c>
      <c r="E26">
        <f>85/2</f>
        <v>42.5</v>
      </c>
    </row>
    <row r="27" spans="2:8" x14ac:dyDescent="0.25">
      <c r="B27" t="s">
        <v>104</v>
      </c>
      <c r="C27" t="s">
        <v>145</v>
      </c>
      <c r="E27">
        <f>150/2</f>
        <v>75</v>
      </c>
    </row>
  </sheetData>
  <pageMargins left="0.7" right="0.7" top="0.75" bottom="0.75" header="0.3" footer="0.3"/>
  <pageSetup orientation="portrait" horizontalDpi="1200" verticalDpi="12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49D1C4-49E7-4DEF-B35E-1EFDF96D80EA}">
  <dimension ref="A1:I290"/>
  <sheetViews>
    <sheetView zoomScale="90" zoomScaleNormal="90" workbookViewId="0">
      <selection activeCell="A2" sqref="A2"/>
    </sheetView>
  </sheetViews>
  <sheetFormatPr defaultRowHeight="15" x14ac:dyDescent="0.25"/>
  <cols>
    <col min="2" max="2" width="12.140625" customWidth="1"/>
    <col min="3" max="3" width="14.28515625" customWidth="1"/>
    <col min="4" max="5" width="13.140625" customWidth="1"/>
    <col min="6" max="6" width="14.140625" customWidth="1"/>
    <col min="7" max="7" width="10.5703125" customWidth="1"/>
    <col min="8" max="8" width="11.28515625" customWidth="1"/>
    <col min="9" max="9" width="14.7109375" customWidth="1"/>
    <col min="10" max="10" width="10.5703125" customWidth="1"/>
    <col min="11" max="11" width="13.42578125" customWidth="1"/>
  </cols>
  <sheetData>
    <row r="1" spans="1:9" x14ac:dyDescent="0.25">
      <c r="A1" t="s">
        <v>136</v>
      </c>
    </row>
    <row r="3" spans="1:9" x14ac:dyDescent="0.25">
      <c r="B3" s="10"/>
      <c r="C3" s="31" t="s">
        <v>128</v>
      </c>
      <c r="D3" s="31"/>
      <c r="E3" s="31" t="s">
        <v>128</v>
      </c>
      <c r="F3" s="31"/>
    </row>
    <row r="4" spans="1:9" x14ac:dyDescent="0.25">
      <c r="B4" s="10"/>
      <c r="C4" s="31">
        <v>3</v>
      </c>
      <c r="D4" s="31"/>
      <c r="E4" s="31">
        <v>5.5</v>
      </c>
      <c r="F4" s="31"/>
      <c r="H4" s="25"/>
      <c r="I4" t="s">
        <v>129</v>
      </c>
    </row>
    <row r="5" spans="1:9" x14ac:dyDescent="0.25">
      <c r="B5" s="12" t="s">
        <v>10</v>
      </c>
      <c r="C5" s="12" t="s">
        <v>130</v>
      </c>
      <c r="D5" s="12" t="s">
        <v>131</v>
      </c>
      <c r="E5" s="12" t="s">
        <v>130</v>
      </c>
      <c r="F5" s="12" t="s">
        <v>131</v>
      </c>
      <c r="H5" s="18"/>
      <c r="I5" s="19" t="s">
        <v>132</v>
      </c>
    </row>
    <row r="6" spans="1:9" x14ac:dyDescent="0.25">
      <c r="B6" s="12">
        <v>100</v>
      </c>
      <c r="C6" s="20">
        <f>E6*0.6</f>
        <v>6</v>
      </c>
      <c r="D6" s="20">
        <f>C6*1.5</f>
        <v>9</v>
      </c>
      <c r="E6" s="26">
        <v>10</v>
      </c>
      <c r="F6" s="26">
        <v>15</v>
      </c>
      <c r="H6" s="21"/>
      <c r="I6" t="s">
        <v>133</v>
      </c>
    </row>
    <row r="7" spans="1:9" x14ac:dyDescent="0.25">
      <c r="B7" s="12">
        <v>1000</v>
      </c>
      <c r="C7" s="22">
        <v>15</v>
      </c>
      <c r="D7" s="23">
        <f>C7*1.5</f>
        <v>22.5</v>
      </c>
      <c r="E7" s="22">
        <v>25</v>
      </c>
      <c r="F7" s="23">
        <f>E7*1.5</f>
        <v>37.5</v>
      </c>
      <c r="H7" s="24"/>
      <c r="I7" t="s">
        <v>134</v>
      </c>
    </row>
    <row r="8" spans="1:9" x14ac:dyDescent="0.25">
      <c r="F8" s="3"/>
      <c r="H8" s="29"/>
      <c r="I8" t="s">
        <v>135</v>
      </c>
    </row>
    <row r="9" spans="1:9" x14ac:dyDescent="0.25">
      <c r="F9" s="3"/>
    </row>
    <row r="10" spans="1:9" x14ac:dyDescent="0.25">
      <c r="B10" s="10"/>
      <c r="C10" s="31" t="s">
        <v>128</v>
      </c>
      <c r="D10" s="31"/>
      <c r="E10" s="31" t="s">
        <v>128</v>
      </c>
      <c r="F10" s="31"/>
    </row>
    <row r="11" spans="1:9" x14ac:dyDescent="0.25">
      <c r="B11" s="10"/>
      <c r="C11" s="31">
        <v>3</v>
      </c>
      <c r="D11" s="31"/>
      <c r="E11" s="31">
        <v>5.5</v>
      </c>
      <c r="F11" s="31"/>
    </row>
    <row r="12" spans="1:9" x14ac:dyDescent="0.25">
      <c r="B12" s="12" t="s">
        <v>10</v>
      </c>
      <c r="C12" s="12" t="s">
        <v>130</v>
      </c>
      <c r="D12" s="12" t="s">
        <v>131</v>
      </c>
      <c r="E12" s="12" t="s">
        <v>130</v>
      </c>
      <c r="F12" s="12" t="s">
        <v>131</v>
      </c>
    </row>
    <row r="13" spans="1:9" x14ac:dyDescent="0.25">
      <c r="B13" s="12">
        <v>100</v>
      </c>
      <c r="C13" s="12">
        <f>E13*0.6</f>
        <v>6</v>
      </c>
      <c r="D13" s="12">
        <f>C13*1.5</f>
        <v>9</v>
      </c>
      <c r="E13" s="12">
        <v>10</v>
      </c>
      <c r="F13" s="12">
        <v>15</v>
      </c>
    </row>
    <row r="14" spans="1:9" x14ac:dyDescent="0.25">
      <c r="B14" s="27">
        <f>B13+100</f>
        <v>200</v>
      </c>
      <c r="C14" s="27">
        <f>0.01*B14+5</f>
        <v>7</v>
      </c>
      <c r="D14" s="28">
        <f>C14*1.5</f>
        <v>10.5</v>
      </c>
      <c r="E14" s="28">
        <f>0.0167*B14+8.333</f>
        <v>11.673</v>
      </c>
      <c r="F14" s="28">
        <f>E14*1.5</f>
        <v>17.509499999999999</v>
      </c>
    </row>
    <row r="15" spans="1:9" x14ac:dyDescent="0.25">
      <c r="B15" s="27">
        <f t="shared" ref="B15:B20" si="0">B14+100</f>
        <v>300</v>
      </c>
      <c r="C15" s="27">
        <f t="shared" ref="C15:C21" si="1">0.01*B15+5</f>
        <v>8</v>
      </c>
      <c r="D15" s="28">
        <f t="shared" ref="D15:D21" si="2">C15*1.5</f>
        <v>12</v>
      </c>
      <c r="E15" s="28">
        <f t="shared" ref="E15:E21" si="3">0.0167*B15+8.333</f>
        <v>13.343</v>
      </c>
      <c r="F15" s="28">
        <f t="shared" ref="F15:F21" si="4">E15*1.5</f>
        <v>20.014499999999998</v>
      </c>
    </row>
    <row r="16" spans="1:9" x14ac:dyDescent="0.25">
      <c r="B16" s="27">
        <f t="shared" si="0"/>
        <v>400</v>
      </c>
      <c r="C16" s="27">
        <f t="shared" si="1"/>
        <v>9</v>
      </c>
      <c r="D16" s="28">
        <f t="shared" si="2"/>
        <v>13.5</v>
      </c>
      <c r="E16" s="28">
        <f t="shared" si="3"/>
        <v>15.013</v>
      </c>
      <c r="F16" s="28">
        <f t="shared" si="4"/>
        <v>22.519500000000001</v>
      </c>
    </row>
    <row r="17" spans="2:6" x14ac:dyDescent="0.25">
      <c r="B17" s="27">
        <f t="shared" si="0"/>
        <v>500</v>
      </c>
      <c r="C17" s="27">
        <f t="shared" si="1"/>
        <v>10</v>
      </c>
      <c r="D17" s="28">
        <f t="shared" si="2"/>
        <v>15</v>
      </c>
      <c r="E17" s="28">
        <f t="shared" si="3"/>
        <v>16.683</v>
      </c>
      <c r="F17" s="28">
        <f t="shared" si="4"/>
        <v>25.0245</v>
      </c>
    </row>
    <row r="18" spans="2:6" x14ac:dyDescent="0.25">
      <c r="B18" s="27">
        <f t="shared" si="0"/>
        <v>600</v>
      </c>
      <c r="C18" s="27">
        <f t="shared" si="1"/>
        <v>11</v>
      </c>
      <c r="D18" s="28">
        <f t="shared" si="2"/>
        <v>16.5</v>
      </c>
      <c r="E18" s="28">
        <f t="shared" si="3"/>
        <v>18.353000000000002</v>
      </c>
      <c r="F18" s="28">
        <f t="shared" si="4"/>
        <v>27.529500000000002</v>
      </c>
    </row>
    <row r="19" spans="2:6" x14ac:dyDescent="0.25">
      <c r="B19" s="27">
        <f t="shared" si="0"/>
        <v>700</v>
      </c>
      <c r="C19" s="27">
        <f t="shared" si="1"/>
        <v>12</v>
      </c>
      <c r="D19" s="28">
        <f t="shared" si="2"/>
        <v>18</v>
      </c>
      <c r="E19" s="28">
        <f t="shared" si="3"/>
        <v>20.023</v>
      </c>
      <c r="F19" s="28">
        <f t="shared" si="4"/>
        <v>30.034500000000001</v>
      </c>
    </row>
    <row r="20" spans="2:6" x14ac:dyDescent="0.25">
      <c r="B20" s="27">
        <f t="shared" si="0"/>
        <v>800</v>
      </c>
      <c r="C20" s="27">
        <f t="shared" si="1"/>
        <v>13</v>
      </c>
      <c r="D20" s="28">
        <f t="shared" si="2"/>
        <v>19.5</v>
      </c>
      <c r="E20" s="28">
        <f t="shared" si="3"/>
        <v>21.692999999999998</v>
      </c>
      <c r="F20" s="28">
        <f t="shared" si="4"/>
        <v>32.539499999999997</v>
      </c>
    </row>
    <row r="21" spans="2:6" x14ac:dyDescent="0.25">
      <c r="B21" s="27">
        <f>B20+100</f>
        <v>900</v>
      </c>
      <c r="C21" s="27">
        <f t="shared" si="1"/>
        <v>14</v>
      </c>
      <c r="D21" s="28">
        <f t="shared" si="2"/>
        <v>21</v>
      </c>
      <c r="E21" s="28">
        <f t="shared" si="3"/>
        <v>23.363</v>
      </c>
      <c r="F21" s="28">
        <f t="shared" si="4"/>
        <v>35.044499999999999</v>
      </c>
    </row>
    <row r="22" spans="2:6" x14ac:dyDescent="0.25">
      <c r="B22" s="12">
        <v>1000</v>
      </c>
      <c r="C22" s="12">
        <v>15</v>
      </c>
      <c r="D22" s="12">
        <f>C22*1.5</f>
        <v>22.5</v>
      </c>
      <c r="E22" s="12">
        <v>25</v>
      </c>
      <c r="F22" s="12">
        <f>E22*1.5</f>
        <v>37.5</v>
      </c>
    </row>
    <row r="23" spans="2:6" x14ac:dyDescent="0.25">
      <c r="F23" s="3"/>
    </row>
    <row r="24" spans="2:6" x14ac:dyDescent="0.25">
      <c r="F24" s="3"/>
    </row>
    <row r="25" spans="2:6" x14ac:dyDescent="0.25">
      <c r="F25" s="3"/>
    </row>
    <row r="26" spans="2:6" x14ac:dyDescent="0.25">
      <c r="F26" s="3"/>
    </row>
    <row r="27" spans="2:6" x14ac:dyDescent="0.25">
      <c r="F27" s="3"/>
    </row>
    <row r="29" spans="2:6" x14ac:dyDescent="0.25">
      <c r="F29" s="3"/>
    </row>
    <row r="30" spans="2:6" x14ac:dyDescent="0.25">
      <c r="F30" s="3"/>
    </row>
    <row r="31" spans="2:6" x14ac:dyDescent="0.25">
      <c r="F31" s="3"/>
    </row>
    <row r="32" spans="2:6" x14ac:dyDescent="0.25">
      <c r="F32" s="3"/>
    </row>
    <row r="33" spans="6:6" x14ac:dyDescent="0.25">
      <c r="F33" s="3"/>
    </row>
    <row r="34" spans="6:6" x14ac:dyDescent="0.25">
      <c r="F34" s="3"/>
    </row>
    <row r="35" spans="6:6" x14ac:dyDescent="0.25">
      <c r="F35" s="3"/>
    </row>
    <row r="36" spans="6:6" x14ac:dyDescent="0.25">
      <c r="F36" s="3"/>
    </row>
    <row r="37" spans="6:6" x14ac:dyDescent="0.25">
      <c r="F37" s="3"/>
    </row>
    <row r="38" spans="6:6" x14ac:dyDescent="0.25">
      <c r="F38" s="3"/>
    </row>
    <row r="39" spans="6:6" x14ac:dyDescent="0.25">
      <c r="F39" s="3"/>
    </row>
    <row r="40" spans="6:6" x14ac:dyDescent="0.25">
      <c r="F40" s="3"/>
    </row>
    <row r="41" spans="6:6" x14ac:dyDescent="0.25">
      <c r="F41" s="3"/>
    </row>
    <row r="42" spans="6:6" x14ac:dyDescent="0.25">
      <c r="F42" s="3"/>
    </row>
    <row r="43" spans="6:6" x14ac:dyDescent="0.25">
      <c r="F43" s="3"/>
    </row>
    <row r="44" spans="6:6" x14ac:dyDescent="0.25">
      <c r="F44" s="3"/>
    </row>
    <row r="45" spans="6:6" x14ac:dyDescent="0.25">
      <c r="F45" s="3"/>
    </row>
    <row r="46" spans="6:6" x14ac:dyDescent="0.25">
      <c r="F46" s="3"/>
    </row>
    <row r="47" spans="6:6" x14ac:dyDescent="0.25">
      <c r="F47" s="3"/>
    </row>
    <row r="48" spans="6:6" x14ac:dyDescent="0.25">
      <c r="F48" s="3"/>
    </row>
    <row r="49" spans="6:6" x14ac:dyDescent="0.25">
      <c r="F49" s="3"/>
    </row>
    <row r="50" spans="6:6" x14ac:dyDescent="0.25">
      <c r="F50" s="3"/>
    </row>
    <row r="51" spans="6:6" x14ac:dyDescent="0.25">
      <c r="F51" s="3"/>
    </row>
    <row r="52" spans="6:6" x14ac:dyDescent="0.25">
      <c r="F52" s="3"/>
    </row>
    <row r="53" spans="6:6" x14ac:dyDescent="0.25">
      <c r="F53" s="3"/>
    </row>
    <row r="54" spans="6:6" x14ac:dyDescent="0.25">
      <c r="F54" s="3"/>
    </row>
    <row r="55" spans="6:6" x14ac:dyDescent="0.25">
      <c r="F55" s="3"/>
    </row>
    <row r="56" spans="6:6" x14ac:dyDescent="0.25">
      <c r="F56" s="3"/>
    </row>
    <row r="57" spans="6:6" x14ac:dyDescent="0.25">
      <c r="F57" s="3"/>
    </row>
    <row r="58" spans="6:6" x14ac:dyDescent="0.25">
      <c r="F58" s="3"/>
    </row>
    <row r="59" spans="6:6" x14ac:dyDescent="0.25">
      <c r="F59" s="3"/>
    </row>
    <row r="60" spans="6:6" x14ac:dyDescent="0.25">
      <c r="F60" s="3"/>
    </row>
    <row r="61" spans="6:6" x14ac:dyDescent="0.25">
      <c r="F61" s="3"/>
    </row>
    <row r="62" spans="6:6" x14ac:dyDescent="0.25">
      <c r="F62" s="3"/>
    </row>
    <row r="63" spans="6:6" x14ac:dyDescent="0.25">
      <c r="F63" s="3"/>
    </row>
    <row r="64" spans="6:6" x14ac:dyDescent="0.25">
      <c r="F64" s="3"/>
    </row>
    <row r="65" spans="6:6" x14ac:dyDescent="0.25">
      <c r="F65" s="3"/>
    </row>
    <row r="66" spans="6:6" x14ac:dyDescent="0.25">
      <c r="F66" s="3"/>
    </row>
    <row r="67" spans="6:6" x14ac:dyDescent="0.25">
      <c r="F67" s="3"/>
    </row>
    <row r="68" spans="6:6" x14ac:dyDescent="0.25">
      <c r="F68" s="3"/>
    </row>
    <row r="69" spans="6:6" x14ac:dyDescent="0.25">
      <c r="F69" s="3"/>
    </row>
    <row r="70" spans="6:6" x14ac:dyDescent="0.25">
      <c r="F70" s="3"/>
    </row>
    <row r="71" spans="6:6" x14ac:dyDescent="0.25">
      <c r="F71" s="3"/>
    </row>
    <row r="72" spans="6:6" x14ac:dyDescent="0.25">
      <c r="F72" s="3"/>
    </row>
    <row r="73" spans="6:6" x14ac:dyDescent="0.25">
      <c r="F73" s="3"/>
    </row>
    <row r="74" spans="6:6" x14ac:dyDescent="0.25">
      <c r="F74" s="3"/>
    </row>
    <row r="75" spans="6:6" x14ac:dyDescent="0.25">
      <c r="F75" s="3"/>
    </row>
    <row r="76" spans="6:6" x14ac:dyDescent="0.25">
      <c r="F76" s="3"/>
    </row>
    <row r="77" spans="6:6" x14ac:dyDescent="0.25">
      <c r="F77" s="3"/>
    </row>
    <row r="78" spans="6:6" x14ac:dyDescent="0.25">
      <c r="F78" s="3"/>
    </row>
    <row r="79" spans="6:6" x14ac:dyDescent="0.25">
      <c r="F79" s="3"/>
    </row>
    <row r="80" spans="6:6" x14ac:dyDescent="0.25">
      <c r="F80" s="3"/>
    </row>
    <row r="81" spans="6:6" x14ac:dyDescent="0.25">
      <c r="F81" s="3"/>
    </row>
    <row r="82" spans="6:6" x14ac:dyDescent="0.25">
      <c r="F82" s="3"/>
    </row>
    <row r="83" spans="6:6" x14ac:dyDescent="0.25">
      <c r="F83" s="3"/>
    </row>
    <row r="84" spans="6:6" x14ac:dyDescent="0.25">
      <c r="F84" s="3"/>
    </row>
    <row r="85" spans="6:6" x14ac:dyDescent="0.25">
      <c r="F85" s="3"/>
    </row>
    <row r="86" spans="6:6" x14ac:dyDescent="0.25">
      <c r="F86" s="3"/>
    </row>
    <row r="87" spans="6:6" x14ac:dyDescent="0.25">
      <c r="F87" s="3"/>
    </row>
    <row r="88" spans="6:6" x14ac:dyDescent="0.25">
      <c r="F88" s="3"/>
    </row>
    <row r="89" spans="6:6" x14ac:dyDescent="0.25">
      <c r="F89" s="3"/>
    </row>
    <row r="90" spans="6:6" x14ac:dyDescent="0.25">
      <c r="F90" s="3"/>
    </row>
    <row r="91" spans="6:6" x14ac:dyDescent="0.25">
      <c r="F91" s="3"/>
    </row>
    <row r="92" spans="6:6" x14ac:dyDescent="0.25">
      <c r="F92" s="3"/>
    </row>
    <row r="93" spans="6:6" x14ac:dyDescent="0.25">
      <c r="F93" s="3"/>
    </row>
    <row r="94" spans="6:6" x14ac:dyDescent="0.25">
      <c r="F94" s="3"/>
    </row>
    <row r="95" spans="6:6" x14ac:dyDescent="0.25">
      <c r="F95" s="3"/>
    </row>
    <row r="96" spans="6:6" x14ac:dyDescent="0.25">
      <c r="F96" s="3"/>
    </row>
    <row r="97" spans="6:6" x14ac:dyDescent="0.25">
      <c r="F97" s="3"/>
    </row>
    <row r="98" spans="6:6" x14ac:dyDescent="0.25">
      <c r="F98" s="3"/>
    </row>
    <row r="99" spans="6:6" x14ac:dyDescent="0.25">
      <c r="F99" s="3"/>
    </row>
    <row r="100" spans="6:6" x14ac:dyDescent="0.25">
      <c r="F100" s="3"/>
    </row>
    <row r="101" spans="6:6" x14ac:dyDescent="0.25">
      <c r="F101" s="3"/>
    </row>
    <row r="102" spans="6:6" x14ac:dyDescent="0.25">
      <c r="F102" s="3"/>
    </row>
    <row r="103" spans="6:6" x14ac:dyDescent="0.25">
      <c r="F103" s="3"/>
    </row>
    <row r="104" spans="6:6" x14ac:dyDescent="0.25">
      <c r="F104" s="3"/>
    </row>
    <row r="105" spans="6:6" x14ac:dyDescent="0.25">
      <c r="F105" s="3"/>
    </row>
    <row r="106" spans="6:6" x14ac:dyDescent="0.25">
      <c r="F106" s="3"/>
    </row>
    <row r="107" spans="6:6" x14ac:dyDescent="0.25">
      <c r="F107" s="3"/>
    </row>
    <row r="108" spans="6:6" x14ac:dyDescent="0.25">
      <c r="F108" s="3"/>
    </row>
    <row r="109" spans="6:6" x14ac:dyDescent="0.25">
      <c r="F109" s="3"/>
    </row>
    <row r="110" spans="6:6" x14ac:dyDescent="0.25">
      <c r="F110" s="3"/>
    </row>
    <row r="111" spans="6:6" x14ac:dyDescent="0.25">
      <c r="F111" s="3"/>
    </row>
    <row r="112" spans="6:6" x14ac:dyDescent="0.25">
      <c r="F112" s="3"/>
    </row>
    <row r="113" spans="6:6" x14ac:dyDescent="0.25">
      <c r="F113" s="3"/>
    </row>
    <row r="114" spans="6:6" x14ac:dyDescent="0.25">
      <c r="F114" s="3"/>
    </row>
    <row r="115" spans="6:6" x14ac:dyDescent="0.25">
      <c r="F115" s="3"/>
    </row>
    <row r="116" spans="6:6" x14ac:dyDescent="0.25">
      <c r="F116" s="3"/>
    </row>
    <row r="117" spans="6:6" x14ac:dyDescent="0.25">
      <c r="F117" s="3"/>
    </row>
    <row r="118" spans="6:6" x14ac:dyDescent="0.25">
      <c r="F118" s="3"/>
    </row>
    <row r="119" spans="6:6" x14ac:dyDescent="0.25">
      <c r="F119" s="3"/>
    </row>
    <row r="120" spans="6:6" x14ac:dyDescent="0.25">
      <c r="F120" s="3"/>
    </row>
    <row r="121" spans="6:6" x14ac:dyDescent="0.25">
      <c r="F121" s="3"/>
    </row>
    <row r="122" spans="6:6" x14ac:dyDescent="0.25">
      <c r="F122" s="3"/>
    </row>
    <row r="123" spans="6:6" x14ac:dyDescent="0.25">
      <c r="F123" s="3"/>
    </row>
    <row r="124" spans="6:6" x14ac:dyDescent="0.25">
      <c r="F124" s="3"/>
    </row>
    <row r="125" spans="6:6" x14ac:dyDescent="0.25">
      <c r="F125" s="3"/>
    </row>
    <row r="126" spans="6:6" x14ac:dyDescent="0.25">
      <c r="F126" s="3"/>
    </row>
    <row r="127" spans="6:6" x14ac:dyDescent="0.25">
      <c r="F127" s="3"/>
    </row>
    <row r="128" spans="6:6" x14ac:dyDescent="0.25">
      <c r="F128" s="3"/>
    </row>
    <row r="129" spans="6:6" x14ac:dyDescent="0.25">
      <c r="F129" s="3"/>
    </row>
    <row r="130" spans="6:6" x14ac:dyDescent="0.25">
      <c r="F130" s="3"/>
    </row>
    <row r="131" spans="6:6" x14ac:dyDescent="0.25">
      <c r="F131" s="3"/>
    </row>
    <row r="132" spans="6:6" x14ac:dyDescent="0.25">
      <c r="F132" s="3"/>
    </row>
    <row r="133" spans="6:6" x14ac:dyDescent="0.25">
      <c r="F133" s="3"/>
    </row>
    <row r="134" spans="6:6" x14ac:dyDescent="0.25">
      <c r="F134" s="3"/>
    </row>
    <row r="135" spans="6:6" x14ac:dyDescent="0.25">
      <c r="F135" s="3"/>
    </row>
    <row r="136" spans="6:6" x14ac:dyDescent="0.25">
      <c r="F136" s="3"/>
    </row>
    <row r="137" spans="6:6" x14ac:dyDescent="0.25">
      <c r="F137" s="3"/>
    </row>
    <row r="138" spans="6:6" x14ac:dyDescent="0.25">
      <c r="F138" s="3"/>
    </row>
    <row r="139" spans="6:6" x14ac:dyDescent="0.25">
      <c r="F139" s="3"/>
    </row>
    <row r="140" spans="6:6" x14ac:dyDescent="0.25">
      <c r="F140" s="3"/>
    </row>
    <row r="141" spans="6:6" x14ac:dyDescent="0.25">
      <c r="F141" s="3"/>
    </row>
    <row r="142" spans="6:6" x14ac:dyDescent="0.25">
      <c r="F142" s="3"/>
    </row>
    <row r="143" spans="6:6" x14ac:dyDescent="0.25">
      <c r="F143" s="3"/>
    </row>
    <row r="144" spans="6:6" x14ac:dyDescent="0.25">
      <c r="F144" s="3"/>
    </row>
    <row r="145" spans="6:6" x14ac:dyDescent="0.25">
      <c r="F145" s="3"/>
    </row>
    <row r="146" spans="6:6" x14ac:dyDescent="0.25">
      <c r="F146" s="3"/>
    </row>
    <row r="147" spans="6:6" x14ac:dyDescent="0.25">
      <c r="F147" s="3"/>
    </row>
    <row r="148" spans="6:6" x14ac:dyDescent="0.25">
      <c r="F148" s="3"/>
    </row>
    <row r="149" spans="6:6" x14ac:dyDescent="0.25">
      <c r="F149" s="3"/>
    </row>
    <row r="150" spans="6:6" x14ac:dyDescent="0.25">
      <c r="F150" s="3"/>
    </row>
    <row r="151" spans="6:6" x14ac:dyDescent="0.25">
      <c r="F151" s="3"/>
    </row>
    <row r="152" spans="6:6" x14ac:dyDescent="0.25">
      <c r="F152" s="3"/>
    </row>
    <row r="153" spans="6:6" x14ac:dyDescent="0.25">
      <c r="F153" s="3"/>
    </row>
    <row r="154" spans="6:6" x14ac:dyDescent="0.25">
      <c r="F154" s="3"/>
    </row>
    <row r="155" spans="6:6" x14ac:dyDescent="0.25">
      <c r="F155" s="3"/>
    </row>
    <row r="156" spans="6:6" x14ac:dyDescent="0.25">
      <c r="F156" s="3"/>
    </row>
    <row r="157" spans="6:6" x14ac:dyDescent="0.25">
      <c r="F157" s="3"/>
    </row>
    <row r="158" spans="6:6" x14ac:dyDescent="0.25">
      <c r="F158" s="3"/>
    </row>
    <row r="159" spans="6:6" x14ac:dyDescent="0.25">
      <c r="F159" s="3"/>
    </row>
    <row r="160" spans="6:6" x14ac:dyDescent="0.25">
      <c r="F160" s="3"/>
    </row>
    <row r="161" spans="6:6" x14ac:dyDescent="0.25">
      <c r="F161" s="3"/>
    </row>
    <row r="162" spans="6:6" x14ac:dyDescent="0.25">
      <c r="F162" s="3"/>
    </row>
    <row r="163" spans="6:6" x14ac:dyDescent="0.25">
      <c r="F163" s="3"/>
    </row>
    <row r="164" spans="6:6" x14ac:dyDescent="0.25">
      <c r="F164" s="3"/>
    </row>
    <row r="165" spans="6:6" x14ac:dyDescent="0.25">
      <c r="F165" s="3"/>
    </row>
    <row r="166" spans="6:6" x14ac:dyDescent="0.25">
      <c r="F166" s="3"/>
    </row>
    <row r="167" spans="6:6" x14ac:dyDescent="0.25">
      <c r="F167" s="3"/>
    </row>
    <row r="168" spans="6:6" x14ac:dyDescent="0.25">
      <c r="F168" s="3"/>
    </row>
    <row r="169" spans="6:6" x14ac:dyDescent="0.25">
      <c r="F169" s="3"/>
    </row>
    <row r="170" spans="6:6" x14ac:dyDescent="0.25">
      <c r="F170" s="3"/>
    </row>
    <row r="171" spans="6:6" x14ac:dyDescent="0.25">
      <c r="F171" s="3"/>
    </row>
    <row r="172" spans="6:6" x14ac:dyDescent="0.25">
      <c r="F172" s="3"/>
    </row>
    <row r="173" spans="6:6" x14ac:dyDescent="0.25">
      <c r="F173" s="3"/>
    </row>
    <row r="174" spans="6:6" x14ac:dyDescent="0.25">
      <c r="F174" s="3"/>
    </row>
    <row r="175" spans="6:6" x14ac:dyDescent="0.25">
      <c r="F175" s="3"/>
    </row>
    <row r="176" spans="6:6" x14ac:dyDescent="0.25">
      <c r="F176" s="3"/>
    </row>
    <row r="177" spans="6:6" x14ac:dyDescent="0.25">
      <c r="F177" s="3"/>
    </row>
    <row r="178" spans="6:6" x14ac:dyDescent="0.25">
      <c r="F178" s="3"/>
    </row>
    <row r="179" spans="6:6" x14ac:dyDescent="0.25">
      <c r="F179" s="3"/>
    </row>
    <row r="180" spans="6:6" x14ac:dyDescent="0.25">
      <c r="F180" s="3"/>
    </row>
    <row r="181" spans="6:6" x14ac:dyDescent="0.25">
      <c r="F181" s="3"/>
    </row>
    <row r="182" spans="6:6" x14ac:dyDescent="0.25">
      <c r="F182" s="3"/>
    </row>
    <row r="183" spans="6:6" x14ac:dyDescent="0.25">
      <c r="F183" s="3"/>
    </row>
    <row r="184" spans="6:6" x14ac:dyDescent="0.25">
      <c r="F184" s="3"/>
    </row>
    <row r="185" spans="6:6" x14ac:dyDescent="0.25">
      <c r="F185" s="3"/>
    </row>
    <row r="186" spans="6:6" x14ac:dyDescent="0.25">
      <c r="F186" s="3"/>
    </row>
    <row r="187" spans="6:6" x14ac:dyDescent="0.25">
      <c r="F187" s="3"/>
    </row>
    <row r="188" spans="6:6" x14ac:dyDescent="0.25">
      <c r="F188" s="3"/>
    </row>
    <row r="189" spans="6:6" x14ac:dyDescent="0.25">
      <c r="F189" s="3"/>
    </row>
    <row r="190" spans="6:6" x14ac:dyDescent="0.25">
      <c r="F190" s="3"/>
    </row>
    <row r="191" spans="6:6" x14ac:dyDescent="0.25">
      <c r="F191" s="3"/>
    </row>
    <row r="192" spans="6:6" x14ac:dyDescent="0.25">
      <c r="F192" s="3"/>
    </row>
    <row r="193" spans="6:6" x14ac:dyDescent="0.25">
      <c r="F193" s="3"/>
    </row>
    <row r="194" spans="6:6" x14ac:dyDescent="0.25">
      <c r="F194" s="3"/>
    </row>
    <row r="195" spans="6:6" x14ac:dyDescent="0.25">
      <c r="F195" s="3"/>
    </row>
    <row r="196" spans="6:6" x14ac:dyDescent="0.25">
      <c r="F196" s="3"/>
    </row>
    <row r="197" spans="6:6" x14ac:dyDescent="0.25">
      <c r="F197" s="3"/>
    </row>
    <row r="198" spans="6:6" x14ac:dyDescent="0.25">
      <c r="F198" s="3"/>
    </row>
    <row r="199" spans="6:6" x14ac:dyDescent="0.25">
      <c r="F199" s="3"/>
    </row>
    <row r="200" spans="6:6" x14ac:dyDescent="0.25">
      <c r="F200" s="3"/>
    </row>
    <row r="201" spans="6:6" x14ac:dyDescent="0.25">
      <c r="F201" s="3"/>
    </row>
    <row r="202" spans="6:6" x14ac:dyDescent="0.25">
      <c r="F202" s="3"/>
    </row>
    <row r="203" spans="6:6" x14ac:dyDescent="0.25">
      <c r="F203" s="3"/>
    </row>
    <row r="204" spans="6:6" x14ac:dyDescent="0.25">
      <c r="F204" s="3"/>
    </row>
    <row r="205" spans="6:6" x14ac:dyDescent="0.25">
      <c r="F205" s="3"/>
    </row>
    <row r="206" spans="6:6" x14ac:dyDescent="0.25">
      <c r="F206" s="3"/>
    </row>
    <row r="207" spans="6:6" x14ac:dyDescent="0.25">
      <c r="F207" s="3"/>
    </row>
    <row r="208" spans="6:6" x14ac:dyDescent="0.25">
      <c r="F208" s="3"/>
    </row>
    <row r="209" spans="6:6" x14ac:dyDescent="0.25">
      <c r="F209" s="3"/>
    </row>
    <row r="210" spans="6:6" x14ac:dyDescent="0.25">
      <c r="F210" s="3"/>
    </row>
    <row r="211" spans="6:6" x14ac:dyDescent="0.25">
      <c r="F211" s="3"/>
    </row>
    <row r="212" spans="6:6" x14ac:dyDescent="0.25">
      <c r="F212" s="3"/>
    </row>
    <row r="213" spans="6:6" x14ac:dyDescent="0.25">
      <c r="F213" s="3"/>
    </row>
    <row r="214" spans="6:6" x14ac:dyDescent="0.25">
      <c r="F214" s="3"/>
    </row>
    <row r="215" spans="6:6" x14ac:dyDescent="0.25">
      <c r="F215" s="3"/>
    </row>
    <row r="216" spans="6:6" x14ac:dyDescent="0.25">
      <c r="F216" s="3"/>
    </row>
    <row r="217" spans="6:6" x14ac:dyDescent="0.25">
      <c r="F217" s="3"/>
    </row>
    <row r="218" spans="6:6" x14ac:dyDescent="0.25">
      <c r="F218" s="3"/>
    </row>
    <row r="219" spans="6:6" x14ac:dyDescent="0.25">
      <c r="F219" s="3"/>
    </row>
    <row r="220" spans="6:6" x14ac:dyDescent="0.25">
      <c r="F220" s="3"/>
    </row>
    <row r="221" spans="6:6" x14ac:dyDescent="0.25">
      <c r="F221" s="3"/>
    </row>
    <row r="222" spans="6:6" x14ac:dyDescent="0.25">
      <c r="F222" s="3"/>
    </row>
    <row r="223" spans="6:6" x14ac:dyDescent="0.25">
      <c r="F223" s="3"/>
    </row>
    <row r="224" spans="6:6" x14ac:dyDescent="0.25">
      <c r="F224" s="3"/>
    </row>
    <row r="225" spans="6:6" x14ac:dyDescent="0.25">
      <c r="F225" s="3"/>
    </row>
    <row r="226" spans="6:6" x14ac:dyDescent="0.25">
      <c r="F226" s="3"/>
    </row>
    <row r="227" spans="6:6" x14ac:dyDescent="0.25">
      <c r="F227" s="3"/>
    </row>
    <row r="228" spans="6:6" x14ac:dyDescent="0.25">
      <c r="F228" s="3"/>
    </row>
    <row r="229" spans="6:6" x14ac:dyDescent="0.25">
      <c r="F229" s="3"/>
    </row>
    <row r="230" spans="6:6" x14ac:dyDescent="0.25">
      <c r="F230" s="3"/>
    </row>
    <row r="231" spans="6:6" x14ac:dyDescent="0.25">
      <c r="F231" s="3"/>
    </row>
    <row r="232" spans="6:6" x14ac:dyDescent="0.25">
      <c r="F232" s="3"/>
    </row>
    <row r="233" spans="6:6" x14ac:dyDescent="0.25">
      <c r="F233" s="3"/>
    </row>
    <row r="234" spans="6:6" x14ac:dyDescent="0.25">
      <c r="F234" s="3"/>
    </row>
    <row r="235" spans="6:6" x14ac:dyDescent="0.25">
      <c r="F235" s="3"/>
    </row>
    <row r="236" spans="6:6" x14ac:dyDescent="0.25">
      <c r="F236" s="3"/>
    </row>
    <row r="237" spans="6:6" x14ac:dyDescent="0.25">
      <c r="F237" s="3"/>
    </row>
    <row r="238" spans="6:6" x14ac:dyDescent="0.25">
      <c r="F238" s="3"/>
    </row>
    <row r="239" spans="6:6" x14ac:dyDescent="0.25">
      <c r="F239" s="3"/>
    </row>
    <row r="240" spans="6:6" x14ac:dyDescent="0.25">
      <c r="F240" s="3"/>
    </row>
    <row r="241" spans="6:6" x14ac:dyDescent="0.25">
      <c r="F241" s="3"/>
    </row>
    <row r="242" spans="6:6" x14ac:dyDescent="0.25">
      <c r="F242" s="3"/>
    </row>
    <row r="243" spans="6:6" x14ac:dyDescent="0.25">
      <c r="F243" s="3"/>
    </row>
    <row r="244" spans="6:6" x14ac:dyDescent="0.25">
      <c r="F244" s="3"/>
    </row>
    <row r="245" spans="6:6" x14ac:dyDescent="0.25">
      <c r="F245" s="3"/>
    </row>
    <row r="246" spans="6:6" x14ac:dyDescent="0.25">
      <c r="F246" s="3"/>
    </row>
    <row r="247" spans="6:6" x14ac:dyDescent="0.25">
      <c r="F247" s="3"/>
    </row>
    <row r="248" spans="6:6" x14ac:dyDescent="0.25">
      <c r="F248" s="3"/>
    </row>
    <row r="249" spans="6:6" x14ac:dyDescent="0.25">
      <c r="F249" s="3"/>
    </row>
    <row r="250" spans="6:6" x14ac:dyDescent="0.25">
      <c r="F250" s="3"/>
    </row>
    <row r="251" spans="6:6" x14ac:dyDescent="0.25">
      <c r="F251" s="3"/>
    </row>
    <row r="252" spans="6:6" x14ac:dyDescent="0.25">
      <c r="F252" s="3"/>
    </row>
    <row r="253" spans="6:6" x14ac:dyDescent="0.25">
      <c r="F253" s="3"/>
    </row>
    <row r="254" spans="6:6" x14ac:dyDescent="0.25">
      <c r="F254" s="3"/>
    </row>
    <row r="255" spans="6:6" x14ac:dyDescent="0.25">
      <c r="F255" s="3"/>
    </row>
    <row r="256" spans="6:6" x14ac:dyDescent="0.25">
      <c r="F256" s="3"/>
    </row>
    <row r="257" spans="6:6" x14ac:dyDescent="0.25">
      <c r="F257" s="3"/>
    </row>
    <row r="258" spans="6:6" x14ac:dyDescent="0.25">
      <c r="F258" s="3"/>
    </row>
    <row r="259" spans="6:6" x14ac:dyDescent="0.25">
      <c r="F259" s="3"/>
    </row>
    <row r="260" spans="6:6" x14ac:dyDescent="0.25">
      <c r="F260" s="3"/>
    </row>
    <row r="261" spans="6:6" x14ac:dyDescent="0.25">
      <c r="F261" s="3"/>
    </row>
    <row r="262" spans="6:6" x14ac:dyDescent="0.25">
      <c r="F262" s="3"/>
    </row>
    <row r="263" spans="6:6" x14ac:dyDescent="0.25">
      <c r="F263" s="3"/>
    </row>
    <row r="264" spans="6:6" x14ac:dyDescent="0.25">
      <c r="F264" s="3"/>
    </row>
    <row r="265" spans="6:6" x14ac:dyDescent="0.25">
      <c r="F265" s="3"/>
    </row>
    <row r="266" spans="6:6" x14ac:dyDescent="0.25">
      <c r="F266" s="3"/>
    </row>
    <row r="267" spans="6:6" x14ac:dyDescent="0.25">
      <c r="F267" s="3"/>
    </row>
    <row r="268" spans="6:6" x14ac:dyDescent="0.25">
      <c r="F268" s="3"/>
    </row>
    <row r="269" spans="6:6" x14ac:dyDescent="0.25">
      <c r="F269" s="3"/>
    </row>
    <row r="270" spans="6:6" x14ac:dyDescent="0.25">
      <c r="F270" s="3"/>
    </row>
    <row r="271" spans="6:6" x14ac:dyDescent="0.25">
      <c r="F271" s="3"/>
    </row>
    <row r="272" spans="6:6" x14ac:dyDescent="0.25">
      <c r="F272" s="3"/>
    </row>
    <row r="273" spans="6:6" x14ac:dyDescent="0.25">
      <c r="F273" s="3"/>
    </row>
    <row r="274" spans="6:6" x14ac:dyDescent="0.25">
      <c r="F274" s="3"/>
    </row>
    <row r="275" spans="6:6" x14ac:dyDescent="0.25">
      <c r="F275" s="3"/>
    </row>
    <row r="276" spans="6:6" x14ac:dyDescent="0.25">
      <c r="F276" s="3"/>
    </row>
    <row r="277" spans="6:6" x14ac:dyDescent="0.25">
      <c r="F277" s="3"/>
    </row>
    <row r="278" spans="6:6" x14ac:dyDescent="0.25">
      <c r="F278" s="3"/>
    </row>
    <row r="279" spans="6:6" x14ac:dyDescent="0.25">
      <c r="F279" s="3"/>
    </row>
    <row r="280" spans="6:6" x14ac:dyDescent="0.25">
      <c r="F280" s="3"/>
    </row>
    <row r="281" spans="6:6" x14ac:dyDescent="0.25">
      <c r="F281" s="3"/>
    </row>
    <row r="282" spans="6:6" x14ac:dyDescent="0.25">
      <c r="F282" s="3"/>
    </row>
    <row r="283" spans="6:6" x14ac:dyDescent="0.25">
      <c r="F283" s="3"/>
    </row>
    <row r="284" spans="6:6" x14ac:dyDescent="0.25">
      <c r="F284" s="3"/>
    </row>
    <row r="285" spans="6:6" x14ac:dyDescent="0.25">
      <c r="F285" s="3"/>
    </row>
    <row r="286" spans="6:6" x14ac:dyDescent="0.25">
      <c r="F286" s="3"/>
    </row>
    <row r="287" spans="6:6" x14ac:dyDescent="0.25">
      <c r="F287" s="3"/>
    </row>
    <row r="288" spans="6:6" x14ac:dyDescent="0.25">
      <c r="F288" s="3"/>
    </row>
    <row r="289" spans="6:6" x14ac:dyDescent="0.25">
      <c r="F289" s="3"/>
    </row>
    <row r="290" spans="6:6" x14ac:dyDescent="0.25">
      <c r="F290" s="3"/>
    </row>
  </sheetData>
  <mergeCells count="8">
    <mergeCell ref="C10:D10"/>
    <mergeCell ref="E10:F10"/>
    <mergeCell ref="C11:D11"/>
    <mergeCell ref="E11:F11"/>
    <mergeCell ref="C3:D3"/>
    <mergeCell ref="E3:F3"/>
    <mergeCell ref="C4:D4"/>
    <mergeCell ref="E4:F4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5618F2-9AA9-4DA9-88B7-87A02FC5D575}">
  <dimension ref="B2:D3"/>
  <sheetViews>
    <sheetView workbookViewId="0">
      <selection activeCell="E5" sqref="E5"/>
    </sheetView>
  </sheetViews>
  <sheetFormatPr defaultRowHeight="15" x14ac:dyDescent="0.25"/>
  <cols>
    <col min="2" max="2" width="10.42578125" customWidth="1"/>
    <col min="3" max="3" width="14.85546875" customWidth="1"/>
    <col min="4" max="4" width="50.42578125" style="34" customWidth="1"/>
  </cols>
  <sheetData>
    <row r="2" spans="2:4" x14ac:dyDescent="0.25">
      <c r="B2" s="12" t="s">
        <v>155</v>
      </c>
      <c r="C2" s="12" t="s">
        <v>156</v>
      </c>
      <c r="D2" s="33" t="s">
        <v>157</v>
      </c>
    </row>
    <row r="3" spans="2:4" x14ac:dyDescent="0.25">
      <c r="B3" s="12">
        <v>0.1</v>
      </c>
      <c r="C3" s="32">
        <v>45488</v>
      </c>
      <c r="D3" s="33" t="s">
        <v>158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Efficiency</vt:lpstr>
      <vt:lpstr>Reference</vt:lpstr>
      <vt:lpstr>Components</vt:lpstr>
      <vt:lpstr>Operating Current</vt:lpstr>
      <vt:lpstr>Rev History</vt:lpstr>
    </vt:vector>
  </TitlesOfParts>
  <Company>Renesas Electronics America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 Lok</dc:creator>
  <cp:lastModifiedBy>Tim Lok</cp:lastModifiedBy>
  <dcterms:created xsi:type="dcterms:W3CDTF">2020-01-07T21:05:55Z</dcterms:created>
  <dcterms:modified xsi:type="dcterms:W3CDTF">2024-07-16T01:38:10Z</dcterms:modified>
</cp:coreProperties>
</file>