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Analog Solutions PL\Applications Loading\Tim_Lok\Rad_Hard_Space\ISL73007 3A Sync Buck\"/>
    </mc:Choice>
  </mc:AlternateContent>
  <xr:revisionPtr revIDLastSave="0" documentId="13_ncr:1_{2E8F7EB8-81A2-4CF8-B64B-E980274F0A01}" xr6:coauthVersionLast="47" xr6:coauthVersionMax="47" xr10:uidLastSave="{00000000-0000-0000-0000-000000000000}"/>
  <bookViews>
    <workbookView xWindow="-28920" yWindow="-720" windowWidth="29040" windowHeight="15990" activeTab="1" xr2:uid="{DF4BD7BE-721B-4DF1-A64F-2DE8F8FF6C0D}"/>
  </bookViews>
  <sheets>
    <sheet name="Reference" sheetId="2" r:id="rId1"/>
    <sheet name="Efficiency" sheetId="8" r:id="rId2"/>
    <sheet name="Components" sheetId="9" r:id="rId3"/>
    <sheet name="Operating Current" sheetId="10" r:id="rId4"/>
    <sheet name="Rev History" sheetId="11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14" i="8" l="1"/>
  <c r="J9" i="9"/>
  <c r="J8" i="9"/>
  <c r="B13" i="8"/>
  <c r="B12" i="8"/>
  <c r="G19" i="8" l="1"/>
  <c r="G20" i="8" s="1"/>
  <c r="G16" i="8"/>
  <c r="L23" i="8" s="1"/>
  <c r="B11" i="8" l="1"/>
  <c r="J7" i="9" l="1"/>
  <c r="I7" i="9"/>
  <c r="H7" i="9"/>
  <c r="G7" i="9"/>
  <c r="F7" i="9"/>
  <c r="J6" i="9"/>
  <c r="B15" i="8" s="1"/>
  <c r="J5" i="9"/>
  <c r="R23" i="8" l="1"/>
  <c r="N25" i="8" l="1"/>
  <c r="N33" i="8"/>
  <c r="N41" i="8"/>
  <c r="N49" i="8"/>
  <c r="N57" i="8"/>
  <c r="N65" i="8"/>
  <c r="N73" i="8"/>
  <c r="N26" i="8"/>
  <c r="N34" i="8"/>
  <c r="N42" i="8"/>
  <c r="N50" i="8"/>
  <c r="N58" i="8"/>
  <c r="N66" i="8"/>
  <c r="N23" i="8"/>
  <c r="N27" i="8"/>
  <c r="N35" i="8"/>
  <c r="N43" i="8"/>
  <c r="N51" i="8"/>
  <c r="N59" i="8"/>
  <c r="N67" i="8"/>
  <c r="N72" i="8"/>
  <c r="N28" i="8"/>
  <c r="N36" i="8"/>
  <c r="N44" i="8"/>
  <c r="N52" i="8"/>
  <c r="N60" i="8"/>
  <c r="N68" i="8"/>
  <c r="N62" i="8"/>
  <c r="N39" i="8"/>
  <c r="N55" i="8"/>
  <c r="N71" i="8"/>
  <c r="N40" i="8"/>
  <c r="N56" i="8"/>
  <c r="N29" i="8"/>
  <c r="N37" i="8"/>
  <c r="N45" i="8"/>
  <c r="N53" i="8"/>
  <c r="N61" i="8"/>
  <c r="N69" i="8"/>
  <c r="N30" i="8"/>
  <c r="N38" i="8"/>
  <c r="N46" i="8"/>
  <c r="N54" i="8"/>
  <c r="N70" i="8"/>
  <c r="N31" i="8"/>
  <c r="N47" i="8"/>
  <c r="N63" i="8"/>
  <c r="N24" i="8"/>
  <c r="N32" i="8"/>
  <c r="N48" i="8"/>
  <c r="N64" i="8"/>
  <c r="L73" i="8" l="1"/>
  <c r="J73" i="8"/>
  <c r="L72" i="8"/>
  <c r="J72" i="8"/>
  <c r="L71" i="8"/>
  <c r="J71" i="8"/>
  <c r="L70" i="8"/>
  <c r="J70" i="8"/>
  <c r="L69" i="8"/>
  <c r="J69" i="8"/>
  <c r="L68" i="8"/>
  <c r="J68" i="8"/>
  <c r="L67" i="8"/>
  <c r="J67" i="8"/>
  <c r="L66" i="8"/>
  <c r="J66" i="8"/>
  <c r="L65" i="8"/>
  <c r="J65" i="8"/>
  <c r="L64" i="8"/>
  <c r="J64" i="8"/>
  <c r="L63" i="8"/>
  <c r="J63" i="8"/>
  <c r="L62" i="8"/>
  <c r="J62" i="8"/>
  <c r="L61" i="8"/>
  <c r="J61" i="8"/>
  <c r="L60" i="8"/>
  <c r="J60" i="8"/>
  <c r="L59" i="8"/>
  <c r="J59" i="8"/>
  <c r="L58" i="8"/>
  <c r="J58" i="8"/>
  <c r="L57" i="8"/>
  <c r="J57" i="8"/>
  <c r="L56" i="8"/>
  <c r="J56" i="8"/>
  <c r="L55" i="8"/>
  <c r="J55" i="8"/>
  <c r="L54" i="8"/>
  <c r="J54" i="8"/>
  <c r="L53" i="8"/>
  <c r="J53" i="8"/>
  <c r="L52" i="8"/>
  <c r="J52" i="8"/>
  <c r="L51" i="8"/>
  <c r="J51" i="8"/>
  <c r="L50" i="8"/>
  <c r="J50" i="8"/>
  <c r="L49" i="8"/>
  <c r="J49" i="8"/>
  <c r="L48" i="8"/>
  <c r="J48" i="8"/>
  <c r="L47" i="8"/>
  <c r="J47" i="8"/>
  <c r="L46" i="8"/>
  <c r="J46" i="8"/>
  <c r="L45" i="8"/>
  <c r="J45" i="8"/>
  <c r="L44" i="8"/>
  <c r="J44" i="8"/>
  <c r="L43" i="8"/>
  <c r="J43" i="8"/>
  <c r="L42" i="8"/>
  <c r="J42" i="8"/>
  <c r="L41" i="8"/>
  <c r="J41" i="8"/>
  <c r="L40" i="8"/>
  <c r="J40" i="8"/>
  <c r="L39" i="8"/>
  <c r="J39" i="8"/>
  <c r="L38" i="8"/>
  <c r="J38" i="8"/>
  <c r="L37" i="8"/>
  <c r="J37" i="8"/>
  <c r="L36" i="8"/>
  <c r="J36" i="8"/>
  <c r="L35" i="8"/>
  <c r="J35" i="8"/>
  <c r="L34" i="8"/>
  <c r="J34" i="8"/>
  <c r="L33" i="8"/>
  <c r="J33" i="8"/>
  <c r="L32" i="8"/>
  <c r="J32" i="8"/>
  <c r="L31" i="8"/>
  <c r="J31" i="8"/>
  <c r="L30" i="8"/>
  <c r="J30" i="8"/>
  <c r="L29" i="8"/>
  <c r="J29" i="8"/>
  <c r="L28" i="8"/>
  <c r="J28" i="8"/>
  <c r="L27" i="8"/>
  <c r="J27" i="8"/>
  <c r="L26" i="8"/>
  <c r="J26" i="8"/>
  <c r="L25" i="8"/>
  <c r="J25" i="8"/>
  <c r="L24" i="8"/>
  <c r="J24" i="8"/>
  <c r="A24" i="8"/>
  <c r="J23" i="8"/>
  <c r="B23" i="8"/>
  <c r="P23" i="8" s="1"/>
  <c r="B7" i="8"/>
  <c r="B10" i="8" s="1"/>
  <c r="B19" i="8" s="1"/>
  <c r="A25" i="8" l="1"/>
  <c r="R24" i="8"/>
  <c r="B9" i="8"/>
  <c r="B18" i="8" s="1"/>
  <c r="B24" i="8"/>
  <c r="B20" i="8" l="1"/>
  <c r="A26" i="8"/>
  <c r="R25" i="8"/>
  <c r="B25" i="8"/>
  <c r="C25" i="8" s="1"/>
  <c r="C23" i="8"/>
  <c r="K23" i="8" s="1"/>
  <c r="P24" i="8"/>
  <c r="C24" i="8"/>
  <c r="M23" i="8" l="1"/>
  <c r="P25" i="8"/>
  <c r="R26" i="8"/>
  <c r="B26" i="8"/>
  <c r="A27" i="8"/>
  <c r="F25" i="8"/>
  <c r="G25" i="8"/>
  <c r="G24" i="8"/>
  <c r="F24" i="8"/>
  <c r="I23" i="8"/>
  <c r="F23" i="8"/>
  <c r="G23" i="8"/>
  <c r="H23" i="8"/>
  <c r="D23" i="8"/>
  <c r="E23" i="8"/>
  <c r="E25" i="8"/>
  <c r="I25" i="8"/>
  <c r="D25" i="8"/>
  <c r="K25" i="8"/>
  <c r="H25" i="8"/>
  <c r="M25" i="8"/>
  <c r="K24" i="8"/>
  <c r="E24" i="8"/>
  <c r="D24" i="8"/>
  <c r="I24" i="8"/>
  <c r="H24" i="8"/>
  <c r="M24" i="8"/>
  <c r="T25" i="8" l="1"/>
  <c r="T23" i="8"/>
  <c r="S23" i="8"/>
  <c r="S25" i="8"/>
  <c r="O23" i="8"/>
  <c r="U23" i="8" s="1"/>
  <c r="T24" i="8"/>
  <c r="S24" i="8"/>
  <c r="R27" i="8"/>
  <c r="A28" i="8"/>
  <c r="B27" i="8"/>
  <c r="C26" i="8"/>
  <c r="P26" i="8"/>
  <c r="O24" i="8"/>
  <c r="O25" i="8"/>
  <c r="E26" i="8" l="1"/>
  <c r="K26" i="8"/>
  <c r="F26" i="8"/>
  <c r="I26" i="8"/>
  <c r="M26" i="8"/>
  <c r="G26" i="8"/>
  <c r="D26" i="8"/>
  <c r="H26" i="8"/>
  <c r="C27" i="8"/>
  <c r="P27" i="8"/>
  <c r="R28" i="8"/>
  <c r="A29" i="8"/>
  <c r="B28" i="8"/>
  <c r="W23" i="8"/>
  <c r="V23" i="8"/>
  <c r="Q23" i="8"/>
  <c r="W24" i="8"/>
  <c r="W25" i="8"/>
  <c r="U25" i="8"/>
  <c r="Q25" i="8"/>
  <c r="U24" i="8"/>
  <c r="Q24" i="8"/>
  <c r="V25" i="8"/>
  <c r="V24" i="8"/>
  <c r="T26" i="8" l="1"/>
  <c r="S26" i="8"/>
  <c r="C28" i="8"/>
  <c r="P28" i="8"/>
  <c r="R29" i="8"/>
  <c r="A30" i="8"/>
  <c r="B29" i="8"/>
  <c r="O26" i="8"/>
  <c r="K27" i="8"/>
  <c r="D27" i="8"/>
  <c r="I27" i="8"/>
  <c r="G27" i="8"/>
  <c r="M27" i="8"/>
  <c r="E27" i="8"/>
  <c r="H27" i="8"/>
  <c r="F27" i="8"/>
  <c r="S27" i="8" l="1"/>
  <c r="T27" i="8"/>
  <c r="R30" i="8"/>
  <c r="A31" i="8"/>
  <c r="B30" i="8"/>
  <c r="P29" i="8"/>
  <c r="C29" i="8"/>
  <c r="O27" i="8"/>
  <c r="U26" i="8"/>
  <c r="Q26" i="8"/>
  <c r="D28" i="8"/>
  <c r="I28" i="8"/>
  <c r="H28" i="8"/>
  <c r="G28" i="8"/>
  <c r="M28" i="8"/>
  <c r="F28" i="8"/>
  <c r="K28" i="8"/>
  <c r="E28" i="8"/>
  <c r="V26" i="8"/>
  <c r="W26" i="8"/>
  <c r="T28" i="8" l="1"/>
  <c r="S28" i="8"/>
  <c r="W27" i="8"/>
  <c r="V27" i="8"/>
  <c r="O28" i="8"/>
  <c r="F29" i="8"/>
  <c r="E29" i="8"/>
  <c r="D29" i="8"/>
  <c r="K29" i="8"/>
  <c r="H29" i="8"/>
  <c r="M29" i="8"/>
  <c r="G29" i="8"/>
  <c r="I29" i="8"/>
  <c r="R31" i="8"/>
  <c r="A32" i="8"/>
  <c r="B31" i="8"/>
  <c r="U27" i="8"/>
  <c r="Q27" i="8"/>
  <c r="C30" i="8"/>
  <c r="P30" i="8"/>
  <c r="T29" i="8" l="1"/>
  <c r="S29" i="8"/>
  <c r="W28" i="8"/>
  <c r="V28" i="8"/>
  <c r="O29" i="8"/>
  <c r="E30" i="8"/>
  <c r="H30" i="8"/>
  <c r="F30" i="8"/>
  <c r="K30" i="8"/>
  <c r="D30" i="8"/>
  <c r="G30" i="8"/>
  <c r="M30" i="8"/>
  <c r="I30" i="8"/>
  <c r="P31" i="8"/>
  <c r="C31" i="8"/>
  <c r="U28" i="8"/>
  <c r="Q28" i="8"/>
  <c r="R32" i="8"/>
  <c r="A33" i="8"/>
  <c r="B32" i="8"/>
  <c r="S30" i="8" l="1"/>
  <c r="T30" i="8"/>
  <c r="Q29" i="8"/>
  <c r="U29" i="8"/>
  <c r="W29" i="8"/>
  <c r="G31" i="8"/>
  <c r="D31" i="8"/>
  <c r="K31" i="8"/>
  <c r="F31" i="8"/>
  <c r="E31" i="8"/>
  <c r="I31" i="8"/>
  <c r="H31" i="8"/>
  <c r="M31" i="8"/>
  <c r="R33" i="8"/>
  <c r="B33" i="8"/>
  <c r="A34" i="8"/>
  <c r="V29" i="8"/>
  <c r="C32" i="8"/>
  <c r="P32" i="8"/>
  <c r="O30" i="8"/>
  <c r="T31" i="8" l="1"/>
  <c r="S31" i="8"/>
  <c r="Q30" i="8"/>
  <c r="U30" i="8"/>
  <c r="V30" i="8"/>
  <c r="C33" i="8"/>
  <c r="P33" i="8"/>
  <c r="W30" i="8"/>
  <c r="O31" i="8"/>
  <c r="R34" i="8"/>
  <c r="A35" i="8"/>
  <c r="B34" i="8"/>
  <c r="G32" i="8"/>
  <c r="H32" i="8"/>
  <c r="F32" i="8"/>
  <c r="K32" i="8"/>
  <c r="D32" i="8"/>
  <c r="I32" i="8"/>
  <c r="M32" i="8"/>
  <c r="E32" i="8"/>
  <c r="T32" i="8" l="1"/>
  <c r="S32" i="8"/>
  <c r="W31" i="8"/>
  <c r="V31" i="8"/>
  <c r="Q31" i="8"/>
  <c r="U31" i="8"/>
  <c r="C34" i="8"/>
  <c r="P34" i="8"/>
  <c r="O32" i="8"/>
  <c r="R35" i="8"/>
  <c r="A36" i="8"/>
  <c r="B35" i="8"/>
  <c r="F33" i="8"/>
  <c r="I33" i="8"/>
  <c r="G33" i="8"/>
  <c r="D33" i="8"/>
  <c r="E33" i="8"/>
  <c r="H33" i="8"/>
  <c r="M33" i="8"/>
  <c r="K33" i="8"/>
  <c r="S33" i="8" l="1"/>
  <c r="T33" i="8"/>
  <c r="W32" i="8"/>
  <c r="V32" i="8"/>
  <c r="U32" i="8"/>
  <c r="Q32" i="8"/>
  <c r="P35" i="8"/>
  <c r="C35" i="8"/>
  <c r="M34" i="8"/>
  <c r="F34" i="8"/>
  <c r="H34" i="8"/>
  <c r="E34" i="8"/>
  <c r="I34" i="8"/>
  <c r="G34" i="8"/>
  <c r="K34" i="8"/>
  <c r="D34" i="8"/>
  <c r="R36" i="8"/>
  <c r="B36" i="8"/>
  <c r="A37" i="8"/>
  <c r="O33" i="8"/>
  <c r="T34" i="8" l="1"/>
  <c r="S34" i="8"/>
  <c r="V33" i="8"/>
  <c r="D35" i="8"/>
  <c r="G35" i="8"/>
  <c r="I35" i="8"/>
  <c r="M35" i="8"/>
  <c r="K35" i="8"/>
  <c r="F35" i="8"/>
  <c r="H35" i="8"/>
  <c r="E35" i="8"/>
  <c r="O34" i="8"/>
  <c r="R37" i="8"/>
  <c r="B37" i="8"/>
  <c r="A38" i="8"/>
  <c r="Q33" i="8"/>
  <c r="U33" i="8"/>
  <c r="P36" i="8"/>
  <c r="C36" i="8"/>
  <c r="W33" i="8"/>
  <c r="S35" i="8" l="1"/>
  <c r="T35" i="8"/>
  <c r="W34" i="8"/>
  <c r="V34" i="8"/>
  <c r="R38" i="8"/>
  <c r="B38" i="8"/>
  <c r="A39" i="8"/>
  <c r="O35" i="8"/>
  <c r="E36" i="8"/>
  <c r="D36" i="8"/>
  <c r="I36" i="8"/>
  <c r="H36" i="8"/>
  <c r="K36" i="8"/>
  <c r="G36" i="8"/>
  <c r="F36" i="8"/>
  <c r="M36" i="8"/>
  <c r="P37" i="8"/>
  <c r="C37" i="8"/>
  <c r="U34" i="8"/>
  <c r="Q34" i="8"/>
  <c r="S36" i="8" l="1"/>
  <c r="T36" i="8"/>
  <c r="W35" i="8"/>
  <c r="O36" i="8"/>
  <c r="Q35" i="8"/>
  <c r="U35" i="8"/>
  <c r="M37" i="8"/>
  <c r="I37" i="8"/>
  <c r="G37" i="8"/>
  <c r="D37" i="8"/>
  <c r="H37" i="8"/>
  <c r="E37" i="8"/>
  <c r="K37" i="8"/>
  <c r="F37" i="8"/>
  <c r="V35" i="8"/>
  <c r="R39" i="8"/>
  <c r="A40" i="8"/>
  <c r="B39" i="8"/>
  <c r="P38" i="8"/>
  <c r="C38" i="8"/>
  <c r="T37" i="8" l="1"/>
  <c r="S37" i="8"/>
  <c r="W36" i="8"/>
  <c r="R40" i="8"/>
  <c r="A41" i="8"/>
  <c r="B40" i="8"/>
  <c r="P39" i="8"/>
  <c r="C39" i="8"/>
  <c r="O37" i="8"/>
  <c r="Q36" i="8"/>
  <c r="U36" i="8"/>
  <c r="G38" i="8"/>
  <c r="H38" i="8"/>
  <c r="I38" i="8"/>
  <c r="E38" i="8"/>
  <c r="F38" i="8"/>
  <c r="M38" i="8"/>
  <c r="K38" i="8"/>
  <c r="D38" i="8"/>
  <c r="V36" i="8"/>
  <c r="T38" i="8" l="1"/>
  <c r="S38" i="8"/>
  <c r="W37" i="8"/>
  <c r="D39" i="8"/>
  <c r="I39" i="8"/>
  <c r="E39" i="8"/>
  <c r="G39" i="8"/>
  <c r="M39" i="8"/>
  <c r="H39" i="8"/>
  <c r="F39" i="8"/>
  <c r="K39" i="8"/>
  <c r="O38" i="8"/>
  <c r="C40" i="8"/>
  <c r="P40" i="8"/>
  <c r="Q37" i="8"/>
  <c r="U37" i="8"/>
  <c r="R41" i="8"/>
  <c r="B41" i="8"/>
  <c r="A42" i="8"/>
  <c r="V37" i="8"/>
  <c r="S39" i="8" l="1"/>
  <c r="T39" i="8"/>
  <c r="W38" i="8"/>
  <c r="V38" i="8"/>
  <c r="R42" i="8"/>
  <c r="A43" i="8"/>
  <c r="B42" i="8"/>
  <c r="C41" i="8"/>
  <c r="P41" i="8"/>
  <c r="H40" i="8"/>
  <c r="G40" i="8"/>
  <c r="K40" i="8"/>
  <c r="F40" i="8"/>
  <c r="I40" i="8"/>
  <c r="D40" i="8"/>
  <c r="M40" i="8"/>
  <c r="E40" i="8"/>
  <c r="U38" i="8"/>
  <c r="Q38" i="8"/>
  <c r="O39" i="8"/>
  <c r="T40" i="8" l="1"/>
  <c r="S40" i="8"/>
  <c r="W39" i="8"/>
  <c r="O40" i="8"/>
  <c r="M41" i="8"/>
  <c r="I41" i="8"/>
  <c r="D41" i="8"/>
  <c r="F41" i="8"/>
  <c r="K41" i="8"/>
  <c r="E41" i="8"/>
  <c r="H41" i="8"/>
  <c r="G41" i="8"/>
  <c r="C42" i="8"/>
  <c r="P42" i="8"/>
  <c r="Q39" i="8"/>
  <c r="U39" i="8"/>
  <c r="V39" i="8"/>
  <c r="R43" i="8"/>
  <c r="B43" i="8"/>
  <c r="A44" i="8"/>
  <c r="S41" i="8" l="1"/>
  <c r="T41" i="8"/>
  <c r="U40" i="8"/>
  <c r="W40" i="8"/>
  <c r="Q40" i="8"/>
  <c r="V40" i="8"/>
  <c r="G42" i="8"/>
  <c r="H42" i="8"/>
  <c r="K42" i="8"/>
  <c r="D42" i="8"/>
  <c r="F42" i="8"/>
  <c r="E42" i="8"/>
  <c r="M42" i="8"/>
  <c r="I42" i="8"/>
  <c r="O41" i="8"/>
  <c r="C43" i="8"/>
  <c r="P43" i="8"/>
  <c r="R44" i="8"/>
  <c r="A45" i="8"/>
  <c r="B44" i="8"/>
  <c r="S42" i="8" l="1"/>
  <c r="T42" i="8"/>
  <c r="W41" i="8"/>
  <c r="R45" i="8"/>
  <c r="A46" i="8"/>
  <c r="B45" i="8"/>
  <c r="H43" i="8"/>
  <c r="M43" i="8"/>
  <c r="G43" i="8"/>
  <c r="K43" i="8"/>
  <c r="I43" i="8"/>
  <c r="F43" i="8"/>
  <c r="E43" i="8"/>
  <c r="D43" i="8"/>
  <c r="U41" i="8"/>
  <c r="Q41" i="8"/>
  <c r="O42" i="8"/>
  <c r="C44" i="8"/>
  <c r="P44" i="8"/>
  <c r="V41" i="8"/>
  <c r="S43" i="8" l="1"/>
  <c r="T43" i="8"/>
  <c r="I44" i="8"/>
  <c r="K44" i="8"/>
  <c r="G44" i="8"/>
  <c r="H44" i="8"/>
  <c r="M44" i="8"/>
  <c r="D44" i="8"/>
  <c r="F44" i="8"/>
  <c r="E44" i="8"/>
  <c r="U42" i="8"/>
  <c r="Q42" i="8"/>
  <c r="C45" i="8"/>
  <c r="P45" i="8"/>
  <c r="V42" i="8"/>
  <c r="R46" i="8"/>
  <c r="A47" i="8"/>
  <c r="B46" i="8"/>
  <c r="O43" i="8"/>
  <c r="W42" i="8"/>
  <c r="T44" i="8" l="1"/>
  <c r="S44" i="8"/>
  <c r="V43" i="8"/>
  <c r="M45" i="8"/>
  <c r="I45" i="8"/>
  <c r="D45" i="8"/>
  <c r="F45" i="8"/>
  <c r="E45" i="8"/>
  <c r="H45" i="8"/>
  <c r="K45" i="8"/>
  <c r="G45" i="8"/>
  <c r="P46" i="8"/>
  <c r="C46" i="8"/>
  <c r="R47" i="8"/>
  <c r="A48" i="8"/>
  <c r="B47" i="8"/>
  <c r="U43" i="8"/>
  <c r="Q43" i="8"/>
  <c r="O44" i="8"/>
  <c r="W43" i="8"/>
  <c r="S45" i="8" l="1"/>
  <c r="T45" i="8"/>
  <c r="V44" i="8"/>
  <c r="W44" i="8"/>
  <c r="O45" i="8"/>
  <c r="U44" i="8"/>
  <c r="Q44" i="8"/>
  <c r="E46" i="8"/>
  <c r="D46" i="8"/>
  <c r="I46" i="8"/>
  <c r="K46" i="8"/>
  <c r="G46" i="8"/>
  <c r="M46" i="8"/>
  <c r="F46" i="8"/>
  <c r="H46" i="8"/>
  <c r="P47" i="8"/>
  <c r="C47" i="8"/>
  <c r="R48" i="8"/>
  <c r="A49" i="8"/>
  <c r="B48" i="8"/>
  <c r="T46" i="8" l="1"/>
  <c r="S46" i="8"/>
  <c r="W45" i="8"/>
  <c r="V45" i="8"/>
  <c r="Q45" i="8"/>
  <c r="U45" i="8"/>
  <c r="O46" i="8"/>
  <c r="H47" i="8"/>
  <c r="E47" i="8"/>
  <c r="I47" i="8"/>
  <c r="M47" i="8"/>
  <c r="G47" i="8"/>
  <c r="F47" i="8"/>
  <c r="D47" i="8"/>
  <c r="K47" i="8"/>
  <c r="P48" i="8"/>
  <c r="C48" i="8"/>
  <c r="R49" i="8"/>
  <c r="A50" i="8"/>
  <c r="B49" i="8"/>
  <c r="S47" i="8" l="1"/>
  <c r="T47" i="8"/>
  <c r="O47" i="8"/>
  <c r="U46" i="8"/>
  <c r="Q46" i="8"/>
  <c r="P49" i="8"/>
  <c r="C49" i="8"/>
  <c r="V46" i="8"/>
  <c r="R50" i="8"/>
  <c r="A51" i="8"/>
  <c r="B50" i="8"/>
  <c r="W46" i="8"/>
  <c r="E48" i="8"/>
  <c r="G48" i="8"/>
  <c r="H48" i="8"/>
  <c r="F48" i="8"/>
  <c r="K48" i="8"/>
  <c r="I48" i="8"/>
  <c r="D48" i="8"/>
  <c r="M48" i="8"/>
  <c r="T48" i="8" l="1"/>
  <c r="S48" i="8"/>
  <c r="C50" i="8"/>
  <c r="P50" i="8"/>
  <c r="R51" i="8"/>
  <c r="A52" i="8"/>
  <c r="B51" i="8"/>
  <c r="Q47" i="8"/>
  <c r="U47" i="8"/>
  <c r="V47" i="8"/>
  <c r="O48" i="8"/>
  <c r="F49" i="8"/>
  <c r="K49" i="8"/>
  <c r="G49" i="8"/>
  <c r="E49" i="8"/>
  <c r="H49" i="8"/>
  <c r="D49" i="8"/>
  <c r="I49" i="8"/>
  <c r="M49" i="8"/>
  <c r="W47" i="8"/>
  <c r="T49" i="8" l="1"/>
  <c r="S49" i="8"/>
  <c r="W48" i="8"/>
  <c r="V48" i="8"/>
  <c r="O49" i="8"/>
  <c r="P51" i="8"/>
  <c r="C51" i="8"/>
  <c r="Q48" i="8"/>
  <c r="U48" i="8"/>
  <c r="R52" i="8"/>
  <c r="A53" i="8"/>
  <c r="B52" i="8"/>
  <c r="D50" i="8"/>
  <c r="I50" i="8"/>
  <c r="G50" i="8"/>
  <c r="M50" i="8"/>
  <c r="K50" i="8"/>
  <c r="F50" i="8"/>
  <c r="H50" i="8"/>
  <c r="E50" i="8"/>
  <c r="S50" i="8" l="1"/>
  <c r="T50" i="8"/>
  <c r="V49" i="8"/>
  <c r="W49" i="8"/>
  <c r="P52" i="8"/>
  <c r="C52" i="8"/>
  <c r="E51" i="8"/>
  <c r="M51" i="8"/>
  <c r="G51" i="8"/>
  <c r="K51" i="8"/>
  <c r="F51" i="8"/>
  <c r="D51" i="8"/>
  <c r="H51" i="8"/>
  <c r="I51" i="8"/>
  <c r="O50" i="8"/>
  <c r="R53" i="8"/>
  <c r="A54" i="8"/>
  <c r="B53" i="8"/>
  <c r="U49" i="8"/>
  <c r="Q49" i="8"/>
  <c r="S51" i="8" l="1"/>
  <c r="T51" i="8"/>
  <c r="Q50" i="8"/>
  <c r="U50" i="8"/>
  <c r="O51" i="8"/>
  <c r="H52" i="8"/>
  <c r="G52" i="8"/>
  <c r="K52" i="8"/>
  <c r="F52" i="8"/>
  <c r="M52" i="8"/>
  <c r="E52" i="8"/>
  <c r="I52" i="8"/>
  <c r="D52" i="8"/>
  <c r="R54" i="8"/>
  <c r="A55" i="8"/>
  <c r="B54" i="8"/>
  <c r="C53" i="8"/>
  <c r="P53" i="8"/>
  <c r="V50" i="8"/>
  <c r="W50" i="8"/>
  <c r="T52" i="8" l="1"/>
  <c r="S52" i="8"/>
  <c r="V51" i="8"/>
  <c r="U51" i="8"/>
  <c r="Q51" i="8"/>
  <c r="W51" i="8"/>
  <c r="R55" i="8"/>
  <c r="B55" i="8"/>
  <c r="A56" i="8"/>
  <c r="I53" i="8"/>
  <c r="F53" i="8"/>
  <c r="H53" i="8"/>
  <c r="D53" i="8"/>
  <c r="G53" i="8"/>
  <c r="E53" i="8"/>
  <c r="M53" i="8"/>
  <c r="K53" i="8"/>
  <c r="C54" i="8"/>
  <c r="P54" i="8"/>
  <c r="O52" i="8"/>
  <c r="T53" i="8" l="1"/>
  <c r="S53" i="8"/>
  <c r="O53" i="8"/>
  <c r="P55" i="8"/>
  <c r="C55" i="8"/>
  <c r="W52" i="8"/>
  <c r="Q52" i="8"/>
  <c r="U52" i="8"/>
  <c r="E54" i="8"/>
  <c r="D54" i="8"/>
  <c r="F54" i="8"/>
  <c r="M54" i="8"/>
  <c r="H54" i="8"/>
  <c r="G54" i="8"/>
  <c r="I54" i="8"/>
  <c r="K54" i="8"/>
  <c r="V52" i="8"/>
  <c r="R56" i="8"/>
  <c r="A57" i="8"/>
  <c r="B56" i="8"/>
  <c r="T54" i="8" l="1"/>
  <c r="S54" i="8"/>
  <c r="V53" i="8"/>
  <c r="R57" i="8"/>
  <c r="A58" i="8"/>
  <c r="B57" i="8"/>
  <c r="K55" i="8"/>
  <c r="H55" i="8"/>
  <c r="M55" i="8"/>
  <c r="G55" i="8"/>
  <c r="F55" i="8"/>
  <c r="I55" i="8"/>
  <c r="E55" i="8"/>
  <c r="D55" i="8"/>
  <c r="O54" i="8"/>
  <c r="P56" i="8"/>
  <c r="C56" i="8"/>
  <c r="U53" i="8"/>
  <c r="W53" i="8"/>
  <c r="Q53" i="8"/>
  <c r="S55" i="8" l="1"/>
  <c r="T55" i="8"/>
  <c r="V54" i="8"/>
  <c r="I56" i="8"/>
  <c r="D56" i="8"/>
  <c r="K56" i="8"/>
  <c r="E56" i="8"/>
  <c r="G56" i="8"/>
  <c r="H56" i="8"/>
  <c r="M56" i="8"/>
  <c r="F56" i="8"/>
  <c r="C57" i="8"/>
  <c r="P57" i="8"/>
  <c r="R58" i="8"/>
  <c r="A59" i="8"/>
  <c r="B58" i="8"/>
  <c r="O55" i="8"/>
  <c r="U54" i="8"/>
  <c r="Q54" i="8"/>
  <c r="W54" i="8"/>
  <c r="S56" i="8" l="1"/>
  <c r="T56" i="8"/>
  <c r="M57" i="8"/>
  <c r="E57" i="8"/>
  <c r="K57" i="8"/>
  <c r="F57" i="8"/>
  <c r="H57" i="8"/>
  <c r="G57" i="8"/>
  <c r="I57" i="8"/>
  <c r="D57" i="8"/>
  <c r="V55" i="8"/>
  <c r="O56" i="8"/>
  <c r="Q55" i="8"/>
  <c r="U55" i="8"/>
  <c r="P58" i="8"/>
  <c r="C58" i="8"/>
  <c r="R59" i="8"/>
  <c r="A60" i="8"/>
  <c r="B59" i="8"/>
  <c r="W55" i="8"/>
  <c r="S57" i="8" l="1"/>
  <c r="T57" i="8"/>
  <c r="W56" i="8"/>
  <c r="V56" i="8"/>
  <c r="R60" i="8"/>
  <c r="B60" i="8"/>
  <c r="A61" i="8"/>
  <c r="I58" i="8"/>
  <c r="F58" i="8"/>
  <c r="D58" i="8"/>
  <c r="H58" i="8"/>
  <c r="G58" i="8"/>
  <c r="K58" i="8"/>
  <c r="E58" i="8"/>
  <c r="M58" i="8"/>
  <c r="C59" i="8"/>
  <c r="P59" i="8"/>
  <c r="Q56" i="8"/>
  <c r="U56" i="8"/>
  <c r="O57" i="8"/>
  <c r="T58" i="8" l="1"/>
  <c r="S58" i="8"/>
  <c r="R61" i="8"/>
  <c r="A62" i="8"/>
  <c r="B61" i="8"/>
  <c r="U57" i="8"/>
  <c r="Q57" i="8"/>
  <c r="C60" i="8"/>
  <c r="P60" i="8"/>
  <c r="I59" i="8"/>
  <c r="M59" i="8"/>
  <c r="G59" i="8"/>
  <c r="D59" i="8"/>
  <c r="K59" i="8"/>
  <c r="E59" i="8"/>
  <c r="H59" i="8"/>
  <c r="F59" i="8"/>
  <c r="O58" i="8"/>
  <c r="V57" i="8"/>
  <c r="W57" i="8"/>
  <c r="S59" i="8" l="1"/>
  <c r="T59" i="8"/>
  <c r="V58" i="8"/>
  <c r="K60" i="8"/>
  <c r="I60" i="8"/>
  <c r="M60" i="8"/>
  <c r="H60" i="8"/>
  <c r="G60" i="8"/>
  <c r="D60" i="8"/>
  <c r="F60" i="8"/>
  <c r="E60" i="8"/>
  <c r="P61" i="8"/>
  <c r="C61" i="8"/>
  <c r="U58" i="8"/>
  <c r="Q58" i="8"/>
  <c r="W58" i="8"/>
  <c r="R62" i="8"/>
  <c r="B62" i="8"/>
  <c r="A63" i="8"/>
  <c r="O59" i="8"/>
  <c r="T60" i="8" l="1"/>
  <c r="S60" i="8"/>
  <c r="V59" i="8"/>
  <c r="D61" i="8"/>
  <c r="K61" i="8"/>
  <c r="M61" i="8"/>
  <c r="I61" i="8"/>
  <c r="G61" i="8"/>
  <c r="E61" i="8"/>
  <c r="F61" i="8"/>
  <c r="H61" i="8"/>
  <c r="R63" i="8"/>
  <c r="A64" i="8"/>
  <c r="B63" i="8"/>
  <c r="O60" i="8"/>
  <c r="P62" i="8"/>
  <c r="C62" i="8"/>
  <c r="U59" i="8"/>
  <c r="Q59" i="8"/>
  <c r="W59" i="8"/>
  <c r="S61" i="8" l="1"/>
  <c r="T61" i="8"/>
  <c r="C63" i="8"/>
  <c r="P63" i="8"/>
  <c r="R64" i="8"/>
  <c r="A65" i="8"/>
  <c r="B64" i="8"/>
  <c r="M62" i="8"/>
  <c r="H62" i="8"/>
  <c r="E62" i="8"/>
  <c r="K62" i="8"/>
  <c r="I62" i="8"/>
  <c r="G62" i="8"/>
  <c r="D62" i="8"/>
  <c r="F62" i="8"/>
  <c r="Q60" i="8"/>
  <c r="U60" i="8"/>
  <c r="O61" i="8"/>
  <c r="V60" i="8"/>
  <c r="W60" i="8"/>
  <c r="S62" i="8" l="1"/>
  <c r="T62" i="8"/>
  <c r="V61" i="8"/>
  <c r="Q61" i="8"/>
  <c r="U61" i="8"/>
  <c r="P64" i="8"/>
  <c r="C64" i="8"/>
  <c r="R65" i="8"/>
  <c r="B65" i="8"/>
  <c r="A66" i="8"/>
  <c r="W61" i="8"/>
  <c r="O62" i="8"/>
  <c r="H63" i="8"/>
  <c r="I63" i="8"/>
  <c r="E63" i="8"/>
  <c r="G63" i="8"/>
  <c r="D63" i="8"/>
  <c r="K63" i="8"/>
  <c r="M63" i="8"/>
  <c r="F63" i="8"/>
  <c r="T63" i="8" l="1"/>
  <c r="S63" i="8"/>
  <c r="W62" i="8"/>
  <c r="V62" i="8"/>
  <c r="C65" i="8"/>
  <c r="P65" i="8"/>
  <c r="O63" i="8"/>
  <c r="E64" i="8"/>
  <c r="D64" i="8"/>
  <c r="H64" i="8"/>
  <c r="G64" i="8"/>
  <c r="K64" i="8"/>
  <c r="I64" i="8"/>
  <c r="F64" i="8"/>
  <c r="M64" i="8"/>
  <c r="R66" i="8"/>
  <c r="B66" i="8"/>
  <c r="A67" i="8"/>
  <c r="Q62" i="8"/>
  <c r="U62" i="8"/>
  <c r="T64" i="8" l="1"/>
  <c r="S64" i="8"/>
  <c r="V63" i="8"/>
  <c r="U63" i="8"/>
  <c r="Q63" i="8"/>
  <c r="P66" i="8"/>
  <c r="C66" i="8"/>
  <c r="R67" i="8"/>
  <c r="A68" i="8"/>
  <c r="B67" i="8"/>
  <c r="I65" i="8"/>
  <c r="M65" i="8"/>
  <c r="F65" i="8"/>
  <c r="E65" i="8"/>
  <c r="G65" i="8"/>
  <c r="K65" i="8"/>
  <c r="H65" i="8"/>
  <c r="D65" i="8"/>
  <c r="O64" i="8"/>
  <c r="W63" i="8"/>
  <c r="S65" i="8" l="1"/>
  <c r="T65" i="8"/>
  <c r="R68" i="8"/>
  <c r="B68" i="8"/>
  <c r="A69" i="8"/>
  <c r="Q64" i="8"/>
  <c r="U64" i="8"/>
  <c r="O65" i="8"/>
  <c r="D66" i="8"/>
  <c r="E66" i="8"/>
  <c r="G66" i="8"/>
  <c r="I66" i="8"/>
  <c r="K66" i="8"/>
  <c r="M66" i="8"/>
  <c r="F66" i="8"/>
  <c r="H66" i="8"/>
  <c r="V64" i="8"/>
  <c r="C67" i="8"/>
  <c r="P67" i="8"/>
  <c r="W64" i="8"/>
  <c r="T66" i="8" l="1"/>
  <c r="S66" i="8"/>
  <c r="W65" i="8"/>
  <c r="V65" i="8"/>
  <c r="R69" i="8"/>
  <c r="B69" i="8"/>
  <c r="A70" i="8"/>
  <c r="O66" i="8"/>
  <c r="C68" i="8"/>
  <c r="P68" i="8"/>
  <c r="E67" i="8"/>
  <c r="I67" i="8"/>
  <c r="F67" i="8"/>
  <c r="K67" i="8"/>
  <c r="G67" i="8"/>
  <c r="M67" i="8"/>
  <c r="H67" i="8"/>
  <c r="D67" i="8"/>
  <c r="U65" i="8"/>
  <c r="Q65" i="8"/>
  <c r="S67" i="8" l="1"/>
  <c r="T67" i="8"/>
  <c r="U66" i="8"/>
  <c r="Q66" i="8"/>
  <c r="V66" i="8"/>
  <c r="O67" i="8"/>
  <c r="R70" i="8"/>
  <c r="A71" i="8"/>
  <c r="B70" i="8"/>
  <c r="C69" i="8"/>
  <c r="P69" i="8"/>
  <c r="I68" i="8"/>
  <c r="D68" i="8"/>
  <c r="H68" i="8"/>
  <c r="E68" i="8"/>
  <c r="M68" i="8"/>
  <c r="K68" i="8"/>
  <c r="G68" i="8"/>
  <c r="F68" i="8"/>
  <c r="W66" i="8"/>
  <c r="T68" i="8" l="1"/>
  <c r="S68" i="8"/>
  <c r="Q67" i="8"/>
  <c r="U67" i="8"/>
  <c r="H69" i="8"/>
  <c r="D69" i="8"/>
  <c r="E69" i="8"/>
  <c r="F69" i="8"/>
  <c r="K69" i="8"/>
  <c r="I69" i="8"/>
  <c r="G69" i="8"/>
  <c r="M69" i="8"/>
  <c r="V67" i="8"/>
  <c r="W67" i="8"/>
  <c r="P70" i="8"/>
  <c r="C70" i="8"/>
  <c r="O68" i="8"/>
  <c r="R71" i="8"/>
  <c r="A72" i="8"/>
  <c r="B71" i="8"/>
  <c r="T69" i="8" l="1"/>
  <c r="S69" i="8"/>
  <c r="O69" i="8"/>
  <c r="Q68" i="8"/>
  <c r="U68" i="8"/>
  <c r="I70" i="8"/>
  <c r="F70" i="8"/>
  <c r="K70" i="8"/>
  <c r="G70" i="8"/>
  <c r="D70" i="8"/>
  <c r="M70" i="8"/>
  <c r="H70" i="8"/>
  <c r="E70" i="8"/>
  <c r="C71" i="8"/>
  <c r="P71" i="8"/>
  <c r="V68" i="8"/>
  <c r="R72" i="8"/>
  <c r="B72" i="8"/>
  <c r="A73" i="8"/>
  <c r="W68" i="8"/>
  <c r="T70" i="8" l="1"/>
  <c r="S70" i="8"/>
  <c r="W69" i="8"/>
  <c r="V69" i="8"/>
  <c r="O70" i="8"/>
  <c r="E71" i="8"/>
  <c r="H71" i="8"/>
  <c r="K71" i="8"/>
  <c r="D71" i="8"/>
  <c r="M71" i="8"/>
  <c r="I71" i="8"/>
  <c r="G71" i="8"/>
  <c r="F71" i="8"/>
  <c r="P72" i="8"/>
  <c r="C72" i="8"/>
  <c r="B73" i="8"/>
  <c r="R73" i="8"/>
  <c r="Q69" i="8"/>
  <c r="U69" i="8"/>
  <c r="T71" i="8" l="1"/>
  <c r="S71" i="8"/>
  <c r="Q70" i="8"/>
  <c r="U70" i="8"/>
  <c r="V70" i="8"/>
  <c r="P73" i="8"/>
  <c r="C73" i="8"/>
  <c r="I72" i="8"/>
  <c r="H72" i="8"/>
  <c r="K72" i="8"/>
  <c r="G72" i="8"/>
  <c r="M72" i="8"/>
  <c r="F72" i="8"/>
  <c r="D72" i="8"/>
  <c r="E72" i="8"/>
  <c r="O71" i="8"/>
  <c r="W70" i="8"/>
  <c r="S72" i="8" l="1"/>
  <c r="T72" i="8"/>
  <c r="V71" i="8"/>
  <c r="G73" i="8"/>
  <c r="H73" i="8"/>
  <c r="D73" i="8"/>
  <c r="M73" i="8"/>
  <c r="I73" i="8"/>
  <c r="E73" i="8"/>
  <c r="F73" i="8"/>
  <c r="K73" i="8"/>
  <c r="U71" i="8"/>
  <c r="Q71" i="8"/>
  <c r="O72" i="8"/>
  <c r="W71" i="8"/>
  <c r="S73" i="8" l="1"/>
  <c r="T73" i="8"/>
  <c r="W72" i="8"/>
  <c r="V72" i="8"/>
  <c r="O73" i="8"/>
  <c r="U72" i="8"/>
  <c r="Q72" i="8"/>
  <c r="W73" i="8" l="1"/>
  <c r="V73" i="8"/>
  <c r="U73" i="8"/>
  <c r="Q73" i="8"/>
  <c r="X23" i="8" s="1"/>
  <c r="Y23" i="8" s="1"/>
</calcChain>
</file>

<file path=xl/sharedStrings.xml><?xml version="1.0" encoding="utf-8"?>
<sst xmlns="http://schemas.openxmlformats.org/spreadsheetml/2006/main" count="170" uniqueCount="136">
  <si>
    <t>V</t>
  </si>
  <si>
    <t>Input Voltage</t>
  </si>
  <si>
    <t>Output Voltage</t>
  </si>
  <si>
    <t>Duty</t>
  </si>
  <si>
    <t>Calculated Duty Cycle</t>
  </si>
  <si>
    <t>Rdson_up</t>
  </si>
  <si>
    <t>mΩ</t>
  </si>
  <si>
    <t>Rdson_down</t>
  </si>
  <si>
    <t>L_dcr</t>
  </si>
  <si>
    <t>Inductor DCR</t>
  </si>
  <si>
    <t>Fsw</t>
  </si>
  <si>
    <t>kHz</t>
  </si>
  <si>
    <t>Total High Side Rdson</t>
  </si>
  <si>
    <t>Total Low Side Rdson</t>
  </si>
  <si>
    <t>Switching Frequency</t>
  </si>
  <si>
    <t>%</t>
  </si>
  <si>
    <t>Rohm App Note Efficiency Calculation of Buck Converter</t>
  </si>
  <si>
    <t>L</t>
  </si>
  <si>
    <t>uH</t>
  </si>
  <si>
    <t>Power Inductor</t>
  </si>
  <si>
    <t>Iout (A) RMS</t>
  </si>
  <si>
    <t>I_delta_on</t>
  </si>
  <si>
    <t>I_delta_off</t>
  </si>
  <si>
    <t>Ton</t>
  </si>
  <si>
    <t>Toff</t>
  </si>
  <si>
    <t>ns</t>
  </si>
  <si>
    <t>Buck On Time</t>
  </si>
  <si>
    <t>Buck Off Time</t>
  </si>
  <si>
    <t>A</t>
  </si>
  <si>
    <t xml:space="preserve">A </t>
  </si>
  <si>
    <t>Iout_max</t>
  </si>
  <si>
    <t>Max Load Current</t>
  </si>
  <si>
    <t>Ipk_pk/Iout</t>
  </si>
  <si>
    <t>Inductor Ripple to Max Current Ratio</t>
  </si>
  <si>
    <t>Factor</t>
  </si>
  <si>
    <t>High Side FET Pd (W)</t>
  </si>
  <si>
    <t>Low Side FET Pd (W)</t>
  </si>
  <si>
    <t>tr-H</t>
  </si>
  <si>
    <t>tf-H</t>
  </si>
  <si>
    <t>tr-L</t>
  </si>
  <si>
    <t>High Side FET Rise time</t>
  </si>
  <si>
    <t>High Side FET Fall time</t>
  </si>
  <si>
    <t>Low Side FET Rise time</t>
  </si>
  <si>
    <t>Low Side FET Fall time</t>
  </si>
  <si>
    <t>High Side FET Switch Pd (W)</t>
  </si>
  <si>
    <t>Low Side FET Switch Pd (W)</t>
  </si>
  <si>
    <t>Coss-H</t>
  </si>
  <si>
    <t>Coss-L</t>
  </si>
  <si>
    <t>pF</t>
  </si>
  <si>
    <t>FET Coss Switch Pd (W)</t>
  </si>
  <si>
    <t>Vsd-L</t>
  </si>
  <si>
    <t>Dead Time Pd (W)</t>
  </si>
  <si>
    <t>tdt_H</t>
  </si>
  <si>
    <t>tdt_L</t>
  </si>
  <si>
    <t>High to Low dead time</t>
  </si>
  <si>
    <t>Low to High dead time</t>
  </si>
  <si>
    <t>Qg_H</t>
  </si>
  <si>
    <t>Qg_L</t>
  </si>
  <si>
    <t>nC</t>
  </si>
  <si>
    <t>Gate Charge Pd (W)</t>
  </si>
  <si>
    <t>Vgs</t>
  </si>
  <si>
    <t>FET Gate Voltage</t>
  </si>
  <si>
    <t>Cout ESR</t>
  </si>
  <si>
    <t>Cin ESR</t>
  </si>
  <si>
    <t>Output capacitor total ESR</t>
  </si>
  <si>
    <t>Input capacitor total ESR</t>
  </si>
  <si>
    <t>Cap ESR Pd (W)</t>
  </si>
  <si>
    <t>Total Pd (W)</t>
  </si>
  <si>
    <t>Pout (W)</t>
  </si>
  <si>
    <t>Efficiency (%)</t>
  </si>
  <si>
    <t>Sense Resistor</t>
  </si>
  <si>
    <t>Conduction Pd (W)</t>
  </si>
  <si>
    <t>Switching
 Pd (W)</t>
  </si>
  <si>
    <t>Conduction Pd (%)</t>
  </si>
  <si>
    <t>Switching Pd (%)</t>
  </si>
  <si>
    <t>Inductor Up Ramp</t>
  </si>
  <si>
    <t xml:space="preserve">Inductor Down Ramp </t>
  </si>
  <si>
    <t>I_dc_ctrl</t>
  </si>
  <si>
    <t>mA</t>
  </si>
  <si>
    <t>V_dc_ctrl</t>
  </si>
  <si>
    <t>Peak Eff (%)</t>
  </si>
  <si>
    <t>Ctrl/Drv Bias Pd (W)</t>
  </si>
  <si>
    <t>Ctrl/Drv Bias Pd (%)</t>
  </si>
  <si>
    <t>L_ac</t>
  </si>
  <si>
    <t>AC Core Loss</t>
  </si>
  <si>
    <t>mW</t>
  </si>
  <si>
    <t>Inductors</t>
  </si>
  <si>
    <t>Manufacturer</t>
  </si>
  <si>
    <t>Value (uH)</t>
  </si>
  <si>
    <t>L_DCR (mΩ)</t>
  </si>
  <si>
    <t>Inductor</t>
  </si>
  <si>
    <t>Coilcraft</t>
  </si>
  <si>
    <t>P/N</t>
  </si>
  <si>
    <t>L_ac 500kHz core loss (mW)</t>
  </si>
  <si>
    <t>L_ac 800kHz core loss (mW)</t>
  </si>
  <si>
    <t>L_ac 1MHz core loss (mW)</t>
  </si>
  <si>
    <t># of high side FETs</t>
  </si>
  <si>
    <t># of low side FETs</t>
  </si>
  <si>
    <t>L_DCR + AC Pd (W)</t>
  </si>
  <si>
    <t>Rsense Pd (W)</t>
  </si>
  <si>
    <t>L_ac 300kHz core loss (mW)</t>
  </si>
  <si>
    <t>Freq (kHz)</t>
  </si>
  <si>
    <t>Input Data Into Green Cells; Some cells are drop down menus</t>
  </si>
  <si>
    <t># of phases</t>
  </si>
  <si>
    <t>PVIN</t>
  </si>
  <si>
    <t>VOUT</t>
  </si>
  <si>
    <t>Iout @ Peak Eff (A)</t>
  </si>
  <si>
    <t xml:space="preserve">Iout Avg (A) </t>
  </si>
  <si>
    <t>Iout Avg (A)</t>
  </si>
  <si>
    <t>Low Side FET Source-Drain Voltage</t>
  </si>
  <si>
    <t>Estimate core loss (mW) *Note</t>
  </si>
  <si>
    <t>*Note: Estimated AC core loss is estimated by using polynomial curve fit of Coilcraft website calculator data</t>
  </si>
  <si>
    <t>XGL4020 - 0.82uH</t>
  </si>
  <si>
    <t>XEL5050 - 4.7uH</t>
  </si>
  <si>
    <t>XEL5050 - 5.6uH</t>
  </si>
  <si>
    <t xml:space="preserve">*Note: Core loss  data for Coilcraft inductors are taken from Coilcraft website calculator for 2Arms and 30% ripple </t>
  </si>
  <si>
    <t>Revision</t>
  </si>
  <si>
    <t>Date</t>
  </si>
  <si>
    <t>Notes</t>
  </si>
  <si>
    <t>Initial Version</t>
  </si>
  <si>
    <t>Fsw (kHz)</t>
  </si>
  <si>
    <t>I_VIN (mA)</t>
  </si>
  <si>
    <t>PVIN=3V</t>
  </si>
  <si>
    <t>PVIN=12V</t>
  </si>
  <si>
    <t>PVIN=18V</t>
  </si>
  <si>
    <t>IC Supply Voltage</t>
  </si>
  <si>
    <t>IC Operating Current</t>
  </si>
  <si>
    <t>FET Qg modeled in Idc_ctrl cell G20</t>
  </si>
  <si>
    <t>Coss loss modeled in Idc_ctrl cell G20</t>
  </si>
  <si>
    <t>Gray cells are not to be changed.  They represent switching loss of ISL73006.</t>
  </si>
  <si>
    <t>XEL5050 - 15uH</t>
  </si>
  <si>
    <t>XEL5050 - 6.8uH</t>
  </si>
  <si>
    <t>XEL5050 -6.8uH</t>
  </si>
  <si>
    <t>**Note: Core loss data for Coilcraft inductors are taken from Coilcraft website calculator for 1Arms and 30% ripple</t>
  </si>
  <si>
    <t>*Coilcraft</t>
  </si>
  <si>
    <t>**Coilcraft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</si>
</sst>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0"/>
    <numFmt numFmtId="165" formatCode="0.000"/>
    <numFmt numFmtId="166" formatCode="0.000000"/>
    <numFmt numFmtId="167" formatCode="0.0"/>
    <numFmt numFmtId="168" formatCode="0.00000"/>
  </numFmts>
  <fonts count="2" x14ac:knownFonts="1">
    <font>
      <sz val="11"/>
      <color theme="1"/>
      <name val="Calibri"/>
      <family val="2"/>
      <scheme val="minor"/>
    </font>
    <font>
      <b/>
      <sz val="14"/>
      <color theme="9" tint="-0.249977111117893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164" fontId="0" fillId="0" borderId="0" xfId="0" applyNumberFormat="1"/>
    <xf numFmtId="165" fontId="0" fillId="0" borderId="0" xfId="0" applyNumberFormat="1"/>
    <xf numFmtId="2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/>
    </xf>
    <xf numFmtId="168" fontId="0" fillId="0" borderId="0" xfId="0" applyNumberFormat="1"/>
    <xf numFmtId="0" fontId="0" fillId="2" borderId="1" xfId="0" applyFill="1" applyBorder="1"/>
    <xf numFmtId="2" fontId="0" fillId="3" borderId="0" xfId="0" applyNumberFormat="1" applyFill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1" fillId="0" borderId="0" xfId="0" applyFont="1"/>
    <xf numFmtId="2" fontId="0" fillId="0" borderId="1" xfId="0" applyNumberFormat="1" applyBorder="1"/>
    <xf numFmtId="167" fontId="0" fillId="0" borderId="1" xfId="0" applyNumberFormat="1" applyBorder="1"/>
    <xf numFmtId="0" fontId="0" fillId="0" borderId="1" xfId="0" applyBorder="1"/>
    <xf numFmtId="165" fontId="0" fillId="0" borderId="1" xfId="0" applyNumberFormat="1" applyBorder="1"/>
    <xf numFmtId="0" fontId="0" fillId="4" borderId="1" xfId="0" applyFill="1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wrapText="1"/>
    </xf>
    <xf numFmtId="14" fontId="0" fillId="0" borderId="1" xfId="0" applyNumberFormat="1" applyBorder="1" applyAlignment="1">
      <alignment horizontal="center"/>
    </xf>
    <xf numFmtId="0" fontId="0" fillId="0" borderId="5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5" borderId="1" xfId="0" applyFill="1" applyBorder="1"/>
    <xf numFmtId="0" fontId="0" fillId="5" borderId="0" xfId="0" applyFill="1"/>
    <xf numFmtId="0" fontId="0" fillId="6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Buck Efficiency vs Load Current Calculator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GaN FET</c:v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Efficiency!$B$23:$B$73</c:f>
              <c:numCache>
                <c:formatCode>General</c:formatCode>
                <c:ptCount val="51"/>
                <c:pt idx="0">
                  <c:v>0</c:v>
                </c:pt>
                <c:pt idx="1">
                  <c:v>0.02</c:v>
                </c:pt>
                <c:pt idx="2">
                  <c:v>0.04</c:v>
                </c:pt>
                <c:pt idx="3">
                  <c:v>0.06</c:v>
                </c:pt>
                <c:pt idx="4">
                  <c:v>0.08</c:v>
                </c:pt>
                <c:pt idx="5">
                  <c:v>0.1</c:v>
                </c:pt>
                <c:pt idx="6">
                  <c:v>0.12</c:v>
                </c:pt>
                <c:pt idx="7">
                  <c:v>0.14000000000000001</c:v>
                </c:pt>
                <c:pt idx="8">
                  <c:v>0.16</c:v>
                </c:pt>
                <c:pt idx="9">
                  <c:v>0.18</c:v>
                </c:pt>
                <c:pt idx="10">
                  <c:v>0.2</c:v>
                </c:pt>
                <c:pt idx="11">
                  <c:v>0.22</c:v>
                </c:pt>
                <c:pt idx="12">
                  <c:v>0.24</c:v>
                </c:pt>
                <c:pt idx="13">
                  <c:v>0.26</c:v>
                </c:pt>
                <c:pt idx="14">
                  <c:v>0.28000000000000003</c:v>
                </c:pt>
                <c:pt idx="15">
                  <c:v>0.3</c:v>
                </c:pt>
                <c:pt idx="16">
                  <c:v>0.32</c:v>
                </c:pt>
                <c:pt idx="17">
                  <c:v>0.34</c:v>
                </c:pt>
                <c:pt idx="18">
                  <c:v>0.36</c:v>
                </c:pt>
                <c:pt idx="19">
                  <c:v>0.38</c:v>
                </c:pt>
                <c:pt idx="20">
                  <c:v>0.4</c:v>
                </c:pt>
                <c:pt idx="21">
                  <c:v>0.42</c:v>
                </c:pt>
                <c:pt idx="22">
                  <c:v>0.44</c:v>
                </c:pt>
                <c:pt idx="23">
                  <c:v>0.46</c:v>
                </c:pt>
                <c:pt idx="24">
                  <c:v>0.48</c:v>
                </c:pt>
                <c:pt idx="25">
                  <c:v>0.5</c:v>
                </c:pt>
                <c:pt idx="26">
                  <c:v>0.52</c:v>
                </c:pt>
                <c:pt idx="27">
                  <c:v>0.54</c:v>
                </c:pt>
                <c:pt idx="28">
                  <c:v>0.56000000000000005</c:v>
                </c:pt>
                <c:pt idx="29">
                  <c:v>0.57999999999999996</c:v>
                </c:pt>
                <c:pt idx="30">
                  <c:v>0.6</c:v>
                </c:pt>
                <c:pt idx="31">
                  <c:v>0.62</c:v>
                </c:pt>
                <c:pt idx="32">
                  <c:v>0.64</c:v>
                </c:pt>
                <c:pt idx="33">
                  <c:v>0.66</c:v>
                </c:pt>
                <c:pt idx="34">
                  <c:v>0.68</c:v>
                </c:pt>
                <c:pt idx="35">
                  <c:v>0.7</c:v>
                </c:pt>
                <c:pt idx="36">
                  <c:v>0.72</c:v>
                </c:pt>
                <c:pt idx="37">
                  <c:v>0.74</c:v>
                </c:pt>
                <c:pt idx="38">
                  <c:v>0.76</c:v>
                </c:pt>
                <c:pt idx="39">
                  <c:v>0.78</c:v>
                </c:pt>
                <c:pt idx="40">
                  <c:v>0.8</c:v>
                </c:pt>
                <c:pt idx="41">
                  <c:v>0.82</c:v>
                </c:pt>
                <c:pt idx="42">
                  <c:v>0.84</c:v>
                </c:pt>
                <c:pt idx="43">
                  <c:v>0.86</c:v>
                </c:pt>
                <c:pt idx="44">
                  <c:v>0.88</c:v>
                </c:pt>
                <c:pt idx="45">
                  <c:v>0.9</c:v>
                </c:pt>
                <c:pt idx="46">
                  <c:v>0.92</c:v>
                </c:pt>
                <c:pt idx="47">
                  <c:v>0.94</c:v>
                </c:pt>
                <c:pt idx="48">
                  <c:v>0.96</c:v>
                </c:pt>
                <c:pt idx="49">
                  <c:v>0.98</c:v>
                </c:pt>
                <c:pt idx="50">
                  <c:v>1</c:v>
                </c:pt>
              </c:numCache>
            </c:numRef>
          </c:xVal>
          <c:yVal>
            <c:numRef>
              <c:f>Efficiency!$Q$23:$Q$73</c:f>
              <c:numCache>
                <c:formatCode>0.00</c:formatCode>
                <c:ptCount val="51"/>
                <c:pt idx="0">
                  <c:v>0</c:v>
                </c:pt>
                <c:pt idx="1">
                  <c:v>44.594024273674357</c:v>
                </c:pt>
                <c:pt idx="2">
                  <c:v>61.433551906300089</c:v>
                </c:pt>
                <c:pt idx="3">
                  <c:v>70.152594421182073</c:v>
                </c:pt>
                <c:pt idx="4">
                  <c:v>75.415136103676488</c:v>
                </c:pt>
                <c:pt idx="5">
                  <c:v>78.896447884829001</c:v>
                </c:pt>
                <c:pt idx="6">
                  <c:v>81.344245397721977</c:v>
                </c:pt>
                <c:pt idx="7">
                  <c:v>83.141215896178551</c:v>
                </c:pt>
                <c:pt idx="8">
                  <c:v>84.502858960428739</c:v>
                </c:pt>
                <c:pt idx="9">
                  <c:v>85.559477817648727</c:v>
                </c:pt>
                <c:pt idx="10">
                  <c:v>86.394346464375261</c:v>
                </c:pt>
                <c:pt idx="11">
                  <c:v>87.063100759763614</c:v>
                </c:pt>
                <c:pt idx="12">
                  <c:v>87.604291688241602</c:v>
                </c:pt>
                <c:pt idx="13">
                  <c:v>88.045458378295962</c:v>
                </c:pt>
                <c:pt idx="14">
                  <c:v>88.406788595708846</c:v>
                </c:pt>
                <c:pt idx="15">
                  <c:v>88.703413151732136</c:v>
                </c:pt>
                <c:pt idx="16">
                  <c:v>88.946893080861926</c:v>
                </c:pt>
                <c:pt idx="17">
                  <c:v>89.146212011875463</c:v>
                </c:pt>
                <c:pt idx="18">
                  <c:v>89.308455414703062</c:v>
                </c:pt>
                <c:pt idx="19">
                  <c:v>89.439286072490248</c:v>
                </c:pt>
                <c:pt idx="20">
                  <c:v>89.543283615689489</c:v>
                </c:pt>
                <c:pt idx="21">
                  <c:v>89.624191347761951</c:v>
                </c:pt>
                <c:pt idx="22">
                  <c:v>89.685098580137193</c:v>
                </c:pt>
                <c:pt idx="23">
                  <c:v>89.728577296978656</c:v>
                </c:pt>
                <c:pt idx="24">
                  <c:v>89.756785949898813</c:v>
                </c:pt>
                <c:pt idx="25">
                  <c:v>89.771549243808693</c:v>
                </c:pt>
                <c:pt idx="26">
                  <c:v>89.774420148213693</c:v>
                </c:pt>
                <c:pt idx="27">
                  <c:v>89.766728585544712</c:v>
                </c:pt>
                <c:pt idx="28">
                  <c:v>89.749620018728876</c:v>
                </c:pt>
                <c:pt idx="29">
                  <c:v>89.724086299804057</c:v>
                </c:pt>
                <c:pt idx="30">
                  <c:v>89.690990530957265</c:v>
                </c:pt>
                <c:pt idx="31">
                  <c:v>89.651087250789075</c:v>
                </c:pt>
                <c:pt idx="32">
                  <c:v>89.605038939778026</c:v>
                </c:pt>
                <c:pt idx="33">
                  <c:v>89.55342960459754</c:v>
                </c:pt>
                <c:pt idx="34">
                  <c:v>89.496776026956866</c:v>
                </c:pt>
                <c:pt idx="35">
                  <c:v>89.435537132220574</c:v>
                </c:pt>
                <c:pt idx="36">
                  <c:v>89.370121834419763</c:v>
                </c:pt>
                <c:pt idx="37">
                  <c:v>89.30089563902925</c:v>
                </c:pt>
                <c:pt idx="38">
                  <c:v>89.228186227041078</c:v>
                </c:pt>
                <c:pt idx="39">
                  <c:v>89.152288199058901</c:v>
                </c:pt>
                <c:pt idx="40">
                  <c:v>89.073467123187498</c:v>
                </c:pt>
                <c:pt idx="41">
                  <c:v>88.991963003043722</c:v>
                </c:pt>
                <c:pt idx="42">
                  <c:v>88.907993260524904</c:v>
                </c:pt>
                <c:pt idx="43">
                  <c:v>88.821755310724754</c:v>
                </c:pt>
                <c:pt idx="44">
                  <c:v>88.733428792597948</c:v>
                </c:pt>
                <c:pt idx="45">
                  <c:v>88.64317750788841</c:v>
                </c:pt>
                <c:pt idx="46">
                  <c:v>88.551151111877289</c:v>
                </c:pt>
                <c:pt idx="47">
                  <c:v>88.45748659223149</c:v>
                </c:pt>
                <c:pt idx="48">
                  <c:v>88.362309566296489</c:v>
                </c:pt>
                <c:pt idx="49">
                  <c:v>88.265735422311806</c:v>
                </c:pt>
                <c:pt idx="50">
                  <c:v>88.167870326022097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FB60-4896-8283-4AC424BF83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40284272"/>
        <c:axId val="940282960"/>
      </c:scatterChart>
      <c:valAx>
        <c:axId val="940284272"/>
        <c:scaling>
          <c:orientation val="minMax"/>
          <c:max val="1"/>
          <c:min val="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Load Current (A)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40282960"/>
        <c:crosses val="autoZero"/>
        <c:crossBetween val="midCat"/>
      </c:valAx>
      <c:valAx>
        <c:axId val="940282960"/>
        <c:scaling>
          <c:orientation val="minMax"/>
          <c:max val="100"/>
          <c:min val="7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Efficiency (%)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4028427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6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Bias, Conduction and Switch Loss as a Percentage (%) of Total Loss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v>Conduction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extLst>
                <c:ext xmlns:c15="http://schemas.microsoft.com/office/drawing/2012/chart" uri="{02D57815-91ED-43cb-92C2-25804820EDAC}">
                  <c15:fullRef>
                    <c15:sqref>Efficiency!$B$23:$B$73</c15:sqref>
                  </c15:fullRef>
                </c:ext>
              </c:extLst>
              <c:f>(Efficiency!$B$23,Efficiency!$B$25,Efficiency!$B$27,Efficiency!$B$29,Efficiency!$B$31,Efficiency!$B$33,Efficiency!$B$35,Efficiency!$B$37,Efficiency!$B$39,Efficiency!$B$41,Efficiency!$B$43,Efficiency!$B$45,Efficiency!$B$47,Efficiency!$B$49,Efficiency!$B$51,Efficiency!$B$53,Efficiency!$B$55,Efficiency!$B$57,Efficiency!$B$59,Efficiency!$B$61,Efficiency!$B$63,Efficiency!$B$65,Efficiency!$B$67,Efficiency!$B$69,Efficiency!$B$71,Efficiency!$B$73)</c:f>
              <c:numCache>
                <c:formatCode>General</c:formatCode>
                <c:ptCount val="26"/>
                <c:pt idx="0">
                  <c:v>0</c:v>
                </c:pt>
                <c:pt idx="1">
                  <c:v>0.04</c:v>
                </c:pt>
                <c:pt idx="2">
                  <c:v>0.08</c:v>
                </c:pt>
                <c:pt idx="3">
                  <c:v>0.12</c:v>
                </c:pt>
                <c:pt idx="4">
                  <c:v>0.16</c:v>
                </c:pt>
                <c:pt idx="5">
                  <c:v>0.2</c:v>
                </c:pt>
                <c:pt idx="6">
                  <c:v>0.24</c:v>
                </c:pt>
                <c:pt idx="7">
                  <c:v>0.28000000000000003</c:v>
                </c:pt>
                <c:pt idx="8">
                  <c:v>0.32</c:v>
                </c:pt>
                <c:pt idx="9">
                  <c:v>0.36</c:v>
                </c:pt>
                <c:pt idx="10">
                  <c:v>0.4</c:v>
                </c:pt>
                <c:pt idx="11">
                  <c:v>0.44</c:v>
                </c:pt>
                <c:pt idx="12">
                  <c:v>0.48</c:v>
                </c:pt>
                <c:pt idx="13">
                  <c:v>0.52</c:v>
                </c:pt>
                <c:pt idx="14">
                  <c:v>0.56000000000000005</c:v>
                </c:pt>
                <c:pt idx="15">
                  <c:v>0.6</c:v>
                </c:pt>
                <c:pt idx="16">
                  <c:v>0.64</c:v>
                </c:pt>
                <c:pt idx="17">
                  <c:v>0.68</c:v>
                </c:pt>
                <c:pt idx="18">
                  <c:v>0.72</c:v>
                </c:pt>
                <c:pt idx="19">
                  <c:v>0.76</c:v>
                </c:pt>
                <c:pt idx="20">
                  <c:v>0.8</c:v>
                </c:pt>
                <c:pt idx="21">
                  <c:v>0.84</c:v>
                </c:pt>
                <c:pt idx="22">
                  <c:v>0.88</c:v>
                </c:pt>
                <c:pt idx="23">
                  <c:v>0.92</c:v>
                </c:pt>
                <c:pt idx="24">
                  <c:v>0.96</c:v>
                </c:pt>
                <c:pt idx="25">
                  <c:v>1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Efficiency!$V$23:$V$73</c15:sqref>
                  </c15:fullRef>
                </c:ext>
              </c:extLst>
              <c:f>(Efficiency!$V$23,Efficiency!$V$25,Efficiency!$V$27,Efficiency!$V$29,Efficiency!$V$31,Efficiency!$V$33,Efficiency!$V$35,Efficiency!$V$37,Efficiency!$V$39,Efficiency!$V$41,Efficiency!$V$43,Efficiency!$V$45,Efficiency!$V$47,Efficiency!$V$49,Efficiency!$V$51,Efficiency!$V$53,Efficiency!$V$55,Efficiency!$V$57,Efficiency!$V$59,Efficiency!$V$61,Efficiency!$V$63,Efficiency!$V$65,Efficiency!$V$67,Efficiency!$V$69,Efficiency!$V$71,Efficiency!$V$73)</c:f>
              <c:numCache>
                <c:formatCode>0.0</c:formatCode>
                <c:ptCount val="26"/>
                <c:pt idx="0">
                  <c:v>29.469742995742394</c:v>
                </c:pt>
                <c:pt idx="1">
                  <c:v>29.604715695932676</c:v>
                </c:pt>
                <c:pt idx="2">
                  <c:v>30.087159639865916</c:v>
                </c:pt>
                <c:pt idx="3">
                  <c:v>31.009374243751946</c:v>
                </c:pt>
                <c:pt idx="4">
                  <c:v>32.364924479824296</c:v>
                </c:pt>
                <c:pt idx="5">
                  <c:v>34.081003799427165</c:v>
                </c:pt>
                <c:pt idx="6">
                  <c:v>36.063936442633896</c:v>
                </c:pt>
                <c:pt idx="7">
                  <c:v>38.223178486573758</c:v>
                </c:pt>
                <c:pt idx="8">
                  <c:v>40.481085464461543</c:v>
                </c:pt>
                <c:pt idx="9">
                  <c:v>42.77557498975483</c:v>
                </c:pt>
                <c:pt idx="10">
                  <c:v>45.059489267180943</c:v>
                </c:pt>
                <c:pt idx="11">
                  <c:v>47.29859483410528</c:v>
                </c:pt>
                <c:pt idx="12">
                  <c:v>49.469201626394707</c:v>
                </c:pt>
                <c:pt idx="13">
                  <c:v>51.555876679334844</c:v>
                </c:pt>
                <c:pt idx="14">
                  <c:v>53.549454211507388</c:v>
                </c:pt>
                <c:pt idx="15">
                  <c:v>55.445399646208458</c:v>
                </c:pt>
                <c:pt idx="16">
                  <c:v>57.242514179243777</c:v>
                </c:pt>
                <c:pt idx="17">
                  <c:v>58.941936298078012</c:v>
                </c:pt>
                <c:pt idx="18">
                  <c:v>60.546388078376623</c:v>
                </c:pt>
                <c:pt idx="19">
                  <c:v>62.059616092088632</c:v>
                </c:pt>
                <c:pt idx="20">
                  <c:v>63.485983221708807</c:v>
                </c:pt>
                <c:pt idx="21">
                  <c:v>64.830175364135741</c:v>
                </c:pt>
                <c:pt idx="22">
                  <c:v>66.096994368846552</c:v>
                </c:pt>
                <c:pt idx="23">
                  <c:v>67.291214948013149</c:v>
                </c:pt>
                <c:pt idx="24">
                  <c:v>68.417488553050148</c:v>
                </c:pt>
                <c:pt idx="25">
                  <c:v>69.480281389567665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6E9-493C-A11B-0DFC24FB67F3}"/>
            </c:ext>
          </c:extLst>
        </c:ser>
        <c:ser>
          <c:idx val="1"/>
          <c:order val="1"/>
          <c:tx>
            <c:v>Switching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extLst>
                <c:ext xmlns:c15="http://schemas.microsoft.com/office/drawing/2012/chart" uri="{02D57815-91ED-43cb-92C2-25804820EDAC}">
                  <c15:fullRef>
                    <c15:sqref>Efficiency!$B$23:$B$73</c15:sqref>
                  </c15:fullRef>
                </c:ext>
              </c:extLst>
              <c:f>(Efficiency!$B$23,Efficiency!$B$25,Efficiency!$B$27,Efficiency!$B$29,Efficiency!$B$31,Efficiency!$B$33,Efficiency!$B$35,Efficiency!$B$37,Efficiency!$B$39,Efficiency!$B$41,Efficiency!$B$43,Efficiency!$B$45,Efficiency!$B$47,Efficiency!$B$49,Efficiency!$B$51,Efficiency!$B$53,Efficiency!$B$55,Efficiency!$B$57,Efficiency!$B$59,Efficiency!$B$61,Efficiency!$B$63,Efficiency!$B$65,Efficiency!$B$67,Efficiency!$B$69,Efficiency!$B$71,Efficiency!$B$73)</c:f>
              <c:numCache>
                <c:formatCode>General</c:formatCode>
                <c:ptCount val="26"/>
                <c:pt idx="0">
                  <c:v>0</c:v>
                </c:pt>
                <c:pt idx="1">
                  <c:v>0.04</c:v>
                </c:pt>
                <c:pt idx="2">
                  <c:v>0.08</c:v>
                </c:pt>
                <c:pt idx="3">
                  <c:v>0.12</c:v>
                </c:pt>
                <c:pt idx="4">
                  <c:v>0.16</c:v>
                </c:pt>
                <c:pt idx="5">
                  <c:v>0.2</c:v>
                </c:pt>
                <c:pt idx="6">
                  <c:v>0.24</c:v>
                </c:pt>
                <c:pt idx="7">
                  <c:v>0.28000000000000003</c:v>
                </c:pt>
                <c:pt idx="8">
                  <c:v>0.32</c:v>
                </c:pt>
                <c:pt idx="9">
                  <c:v>0.36</c:v>
                </c:pt>
                <c:pt idx="10">
                  <c:v>0.4</c:v>
                </c:pt>
                <c:pt idx="11">
                  <c:v>0.44</c:v>
                </c:pt>
                <c:pt idx="12">
                  <c:v>0.48</c:v>
                </c:pt>
                <c:pt idx="13">
                  <c:v>0.52</c:v>
                </c:pt>
                <c:pt idx="14">
                  <c:v>0.56000000000000005</c:v>
                </c:pt>
                <c:pt idx="15">
                  <c:v>0.6</c:v>
                </c:pt>
                <c:pt idx="16">
                  <c:v>0.64</c:v>
                </c:pt>
                <c:pt idx="17">
                  <c:v>0.68</c:v>
                </c:pt>
                <c:pt idx="18">
                  <c:v>0.72</c:v>
                </c:pt>
                <c:pt idx="19">
                  <c:v>0.76</c:v>
                </c:pt>
                <c:pt idx="20">
                  <c:v>0.8</c:v>
                </c:pt>
                <c:pt idx="21">
                  <c:v>0.84</c:v>
                </c:pt>
                <c:pt idx="22">
                  <c:v>0.88</c:v>
                </c:pt>
                <c:pt idx="23">
                  <c:v>0.92</c:v>
                </c:pt>
                <c:pt idx="24">
                  <c:v>0.96</c:v>
                </c:pt>
                <c:pt idx="25">
                  <c:v>1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Efficiency!$W$23:$W$73</c15:sqref>
                  </c15:fullRef>
                </c:ext>
              </c:extLst>
              <c:f>(Efficiency!$W$23,Efficiency!$W$25,Efficiency!$W$27,Efficiency!$W$29,Efficiency!$W$31,Efficiency!$W$33,Efficiency!$W$35,Efficiency!$W$37,Efficiency!$W$39,Efficiency!$W$41,Efficiency!$W$43,Efficiency!$W$45,Efficiency!$W$47,Efficiency!$W$49,Efficiency!$W$51,Efficiency!$W$53,Efficiency!$W$55,Efficiency!$W$57,Efficiency!$W$59,Efficiency!$W$61,Efficiency!$W$63,Efficiency!$W$65,Efficiency!$W$67,Efficiency!$W$69,Efficiency!$W$71,Efficiency!$W$73)</c:f>
              <c:numCache>
                <c:formatCode>0.0</c:formatCode>
                <c:ptCount val="26"/>
                <c:pt idx="0">
                  <c:v>9.579993807028492</c:v>
                </c:pt>
                <c:pt idx="1">
                  <c:v>10.298477832727672</c:v>
                </c:pt>
                <c:pt idx="2">
                  <c:v>12.047817809139282</c:v>
                </c:pt>
                <c:pt idx="3">
                  <c:v>14.156847540716983</c:v>
                </c:pt>
                <c:pt idx="4">
                  <c:v>16.205227942261473</c:v>
                </c:pt>
                <c:pt idx="5">
                  <c:v>18.006221373232499</c:v>
                </c:pt>
                <c:pt idx="6">
                  <c:v>19.4976858882888</c:v>
                </c:pt>
                <c:pt idx="7">
                  <c:v>20.677066690430738</c:v>
                </c:pt>
                <c:pt idx="8">
                  <c:v>21.568909640365916</c:v>
                </c:pt>
                <c:pt idx="9">
                  <c:v>22.208546315936246</c:v>
                </c:pt>
                <c:pt idx="10">
                  <c:v>22.633773534386371</c:v>
                </c:pt>
                <c:pt idx="11">
                  <c:v>22.880698245449231</c:v>
                </c:pt>
                <c:pt idx="12">
                  <c:v>22.981838267818443</c:v>
                </c:pt>
                <c:pt idx="13">
                  <c:v>22.965455103265814</c:v>
                </c:pt>
                <c:pt idx="14">
                  <c:v>22.855543193450256</c:v>
                </c:pt>
                <c:pt idx="15">
                  <c:v>22.672145845742183</c:v>
                </c:pt>
                <c:pt idx="16">
                  <c:v>22.431809982277485</c:v>
                </c:pt>
                <c:pt idx="17">
                  <c:v>22.148075649141781</c:v>
                </c:pt>
                <c:pt idx="18">
                  <c:v>21.831945752629668</c:v>
                </c:pt>
                <c:pt idx="19">
                  <c:v>21.49231036836084</c:v>
                </c:pt>
                <c:pt idx="20">
                  <c:v>21.136316345742916</c:v>
                </c:pt>
                <c:pt idx="21">
                  <c:v>20.769681798740688</c:v>
                </c:pt>
                <c:pt idx="22">
                  <c:v>20.396959508842581</c:v>
                </c:pt>
                <c:pt idx="23">
                  <c:v>20.021755149954146</c:v>
                </c:pt>
                <c:pt idx="24">
                  <c:v>19.646906716461242</c:v>
                </c:pt>
                <c:pt idx="25">
                  <c:v>19.274631272053412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6E9-493C-A11B-0DFC24FB67F3}"/>
            </c:ext>
          </c:extLst>
        </c:ser>
        <c:ser>
          <c:idx val="2"/>
          <c:order val="2"/>
          <c:tx>
            <c:v>Bias</c:v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Lit>
              <c:ptCount val="26"/>
              <c:pt idx="0">
                <c:v>0</c:v>
              </c:pt>
              <c:pt idx="1">
                <c:v>0.04</c:v>
              </c:pt>
              <c:pt idx="2">
                <c:v>0.08</c:v>
              </c:pt>
              <c:pt idx="3">
                <c:v>0.12</c:v>
              </c:pt>
              <c:pt idx="4">
                <c:v>0.16</c:v>
              </c:pt>
              <c:pt idx="5">
                <c:v>0.2</c:v>
              </c:pt>
              <c:pt idx="6">
                <c:v>0.24</c:v>
              </c:pt>
              <c:pt idx="7">
                <c:v>0.28</c:v>
              </c:pt>
              <c:pt idx="8">
                <c:v>0.32</c:v>
              </c:pt>
              <c:pt idx="9">
                <c:v>0.36</c:v>
              </c:pt>
              <c:pt idx="10">
                <c:v>0.4</c:v>
              </c:pt>
              <c:pt idx="11">
                <c:v>0.44</c:v>
              </c:pt>
              <c:pt idx="12">
                <c:v>0.48</c:v>
              </c:pt>
              <c:pt idx="13">
                <c:v>0.52</c:v>
              </c:pt>
              <c:pt idx="14">
                <c:v>0.56</c:v>
              </c:pt>
              <c:pt idx="15">
                <c:v>0.6</c:v>
              </c:pt>
              <c:pt idx="16">
                <c:v>0.64</c:v>
              </c:pt>
              <c:pt idx="17">
                <c:v>0.68</c:v>
              </c:pt>
              <c:pt idx="18">
                <c:v>0.72</c:v>
              </c:pt>
              <c:pt idx="19">
                <c:v>0.76</c:v>
              </c:pt>
              <c:pt idx="20">
                <c:v>0.8</c:v>
              </c:pt>
              <c:pt idx="21">
                <c:v>0.84</c:v>
              </c:pt>
              <c:pt idx="22">
                <c:v>0.88</c:v>
              </c:pt>
              <c:pt idx="23">
                <c:v>0.92</c:v>
              </c:pt>
              <c:pt idx="24">
                <c:v>0.96</c:v>
              </c:pt>
              <c:pt idx="25">
                <c:v>1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Efficiency!$U$23:$U$73</c15:sqref>
                  </c15:fullRef>
                </c:ext>
              </c:extLst>
              <c:f>(Efficiency!$U$23,Efficiency!$U$25,Efficiency!$U$27,Efficiency!$U$29,Efficiency!$U$31,Efficiency!$U$33,Efficiency!$U$35,Efficiency!$U$37,Efficiency!$U$39,Efficiency!$U$41,Efficiency!$U$43,Efficiency!$U$45,Efficiency!$U$47,Efficiency!$U$49,Efficiency!$U$51,Efficiency!$U$53,Efficiency!$U$55,Efficiency!$U$57,Efficiency!$U$59,Efficiency!$U$61,Efficiency!$U$63,Efficiency!$U$65,Efficiency!$U$67,Efficiency!$U$69,Efficiency!$U$71,Efficiency!$U$73)</c:f>
              <c:numCache>
                <c:formatCode>0.00</c:formatCode>
                <c:ptCount val="26"/>
                <c:pt idx="0">
                  <c:v>60.950263197229106</c:v>
                </c:pt>
                <c:pt idx="1">
                  <c:v>60.096806471339647</c:v>
                </c:pt>
                <c:pt idx="2">
                  <c:v>57.865022550994794</c:v>
                </c:pt>
                <c:pt idx="3">
                  <c:v>54.833778215531083</c:v>
                </c:pt>
                <c:pt idx="4">
                  <c:v>51.429847577914231</c:v>
                </c:pt>
                <c:pt idx="5">
                  <c:v>47.912774827340343</c:v>
                </c:pt>
                <c:pt idx="6">
                  <c:v>44.438377669077305</c:v>
                </c:pt>
                <c:pt idx="7">
                  <c:v>41.099754822995507</c:v>
                </c:pt>
                <c:pt idx="8">
                  <c:v>37.950004895172555</c:v>
                </c:pt>
                <c:pt idx="9">
                  <c:v>35.015878694308917</c:v>
                </c:pt>
                <c:pt idx="10">
                  <c:v>32.306737198432671</c:v>
                </c:pt>
                <c:pt idx="11">
                  <c:v>29.820706920445488</c:v>
                </c:pt>
                <c:pt idx="12">
                  <c:v>27.548960105786829</c:v>
                </c:pt>
                <c:pt idx="13">
                  <c:v>25.478668217399324</c:v>
                </c:pt>
                <c:pt idx="14">
                  <c:v>23.595002595042359</c:v>
                </c:pt>
                <c:pt idx="15">
                  <c:v>21.882454508049353</c:v>
                </c:pt>
                <c:pt idx="16">
                  <c:v>20.325675838478737</c:v>
                </c:pt>
                <c:pt idx="17">
                  <c:v>18.909988052780214</c:v>
                </c:pt>
                <c:pt idx="18">
                  <c:v>17.621666168993709</c:v>
                </c:pt>
                <c:pt idx="19">
                  <c:v>16.448073539550538</c:v>
                </c:pt>
                <c:pt idx="20">
                  <c:v>15.377700432548291</c:v>
                </c:pt>
                <c:pt idx="21">
                  <c:v>14.400142837123564</c:v>
                </c:pt>
                <c:pt idx="22">
                  <c:v>13.506046122310861</c:v>
                </c:pt>
                <c:pt idx="23">
                  <c:v>12.687029902032704</c:v>
                </c:pt>
                <c:pt idx="24">
                  <c:v>11.935604730488594</c:v>
                </c:pt>
                <c:pt idx="25">
                  <c:v>11.245087338378907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6E9-493C-A11B-0DFC24FB67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754221808"/>
        <c:axId val="754224104"/>
      </c:barChart>
      <c:catAx>
        <c:axId val="75422180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Load Current (A)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54224104"/>
        <c:crosses val="autoZero"/>
        <c:auto val="1"/>
        <c:lblAlgn val="ctr"/>
        <c:lblOffset val="100"/>
        <c:tickMarkSkip val="1"/>
        <c:noMultiLvlLbl val="0"/>
      </c:catAx>
      <c:valAx>
        <c:axId val="754224104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Power Dissipation Loss (%)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542218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XGL4020</a:t>
            </a:r>
            <a:r>
              <a:rPr lang="en-US" baseline="0"/>
              <a:t> - 0.82uH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poly"/>
            <c:order val="2"/>
            <c:dispRSqr val="0"/>
            <c:dispEq val="1"/>
            <c:trendlineLbl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Components!$M$5:$M$8</c:f>
              <c:numCache>
                <c:formatCode>General</c:formatCode>
                <c:ptCount val="4"/>
                <c:pt idx="0">
                  <c:v>300</c:v>
                </c:pt>
                <c:pt idx="1">
                  <c:v>500</c:v>
                </c:pt>
                <c:pt idx="2">
                  <c:v>800</c:v>
                </c:pt>
                <c:pt idx="3">
                  <c:v>1000</c:v>
                </c:pt>
              </c:numCache>
            </c:numRef>
          </c:xVal>
          <c:yVal>
            <c:numRef>
              <c:f>Components!$N$5:$N$8</c:f>
              <c:numCache>
                <c:formatCode>General</c:formatCode>
                <c:ptCount val="4"/>
                <c:pt idx="0">
                  <c:v>8</c:v>
                </c:pt>
                <c:pt idx="1">
                  <c:v>15</c:v>
                </c:pt>
                <c:pt idx="2">
                  <c:v>25</c:v>
                </c:pt>
                <c:pt idx="3">
                  <c:v>31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18BA-4376-96EF-253173CAD3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39381416"/>
        <c:axId val="539381744"/>
      </c:scatterChart>
      <c:valAx>
        <c:axId val="539381416"/>
        <c:scaling>
          <c:orientation val="minMax"/>
          <c:max val="1000"/>
          <c:min val="30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39381744"/>
        <c:crosses val="autoZero"/>
        <c:crossBetween val="midCat"/>
      </c:valAx>
      <c:valAx>
        <c:axId val="5393817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3938141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XEL5050 - 4.7uH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poly"/>
            <c:order val="2"/>
            <c:dispRSqr val="0"/>
            <c:dispEq val="1"/>
            <c:trendlineLbl>
              <c:layout>
                <c:manualLayout>
                  <c:x val="-5.7344727643641701E-3"/>
                  <c:y val="0.14395270684622366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Components!$M$5:$M$8</c:f>
              <c:numCache>
                <c:formatCode>General</c:formatCode>
                <c:ptCount val="4"/>
                <c:pt idx="0">
                  <c:v>300</c:v>
                </c:pt>
                <c:pt idx="1">
                  <c:v>500</c:v>
                </c:pt>
                <c:pt idx="2">
                  <c:v>800</c:v>
                </c:pt>
                <c:pt idx="3">
                  <c:v>1000</c:v>
                </c:pt>
              </c:numCache>
            </c:numRef>
          </c:xVal>
          <c:yVal>
            <c:numRef>
              <c:f>Components!$O$5:$O$8</c:f>
              <c:numCache>
                <c:formatCode>General</c:formatCode>
                <c:ptCount val="4"/>
                <c:pt idx="0">
                  <c:v>20</c:v>
                </c:pt>
                <c:pt idx="1">
                  <c:v>33</c:v>
                </c:pt>
                <c:pt idx="2">
                  <c:v>38</c:v>
                </c:pt>
                <c:pt idx="3">
                  <c:v>42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AD34-4DDC-9ECB-2CFB82DFBB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39381416"/>
        <c:axId val="539381744"/>
      </c:scatterChart>
      <c:valAx>
        <c:axId val="539381416"/>
        <c:scaling>
          <c:orientation val="minMax"/>
          <c:max val="1000"/>
          <c:min val="30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39381744"/>
        <c:crosses val="autoZero"/>
        <c:crossBetween val="midCat"/>
      </c:valAx>
      <c:valAx>
        <c:axId val="5393817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3938141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XEL5050 - 5.6uH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poly"/>
            <c:order val="2"/>
            <c:dispRSqr val="0"/>
            <c:dispEq val="1"/>
            <c:trendlineLbl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Components!$M$5:$M$8</c:f>
              <c:numCache>
                <c:formatCode>General</c:formatCode>
                <c:ptCount val="4"/>
                <c:pt idx="0">
                  <c:v>300</c:v>
                </c:pt>
                <c:pt idx="1">
                  <c:v>500</c:v>
                </c:pt>
                <c:pt idx="2">
                  <c:v>800</c:v>
                </c:pt>
                <c:pt idx="3">
                  <c:v>1000</c:v>
                </c:pt>
              </c:numCache>
            </c:numRef>
          </c:xVal>
          <c:yVal>
            <c:numRef>
              <c:f>Components!$P$5:$P$8</c:f>
              <c:numCache>
                <c:formatCode>General</c:formatCode>
                <c:ptCount val="4"/>
                <c:pt idx="0">
                  <c:v>22</c:v>
                </c:pt>
                <c:pt idx="1">
                  <c:v>36</c:v>
                </c:pt>
                <c:pt idx="2">
                  <c:v>47</c:v>
                </c:pt>
                <c:pt idx="3">
                  <c:v>54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7212-442D-BF93-E85AC01642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39381416"/>
        <c:axId val="539381744"/>
      </c:scatterChart>
      <c:valAx>
        <c:axId val="539381416"/>
        <c:scaling>
          <c:orientation val="minMax"/>
          <c:max val="1000"/>
          <c:min val="30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39381744"/>
        <c:crosses val="autoZero"/>
        <c:crossBetween val="midCat"/>
      </c:valAx>
      <c:valAx>
        <c:axId val="5393817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3938141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XEL5050 - 6.8uH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poly"/>
            <c:order val="2"/>
            <c:dispRSqr val="0"/>
            <c:dispEq val="1"/>
            <c:trendlineLbl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Components!$M$5:$M$8</c:f>
              <c:numCache>
                <c:formatCode>General</c:formatCode>
                <c:ptCount val="4"/>
                <c:pt idx="0">
                  <c:v>300</c:v>
                </c:pt>
                <c:pt idx="1">
                  <c:v>500</c:v>
                </c:pt>
                <c:pt idx="2">
                  <c:v>800</c:v>
                </c:pt>
                <c:pt idx="3">
                  <c:v>1000</c:v>
                </c:pt>
              </c:numCache>
            </c:numRef>
          </c:xVal>
          <c:yVal>
            <c:numRef>
              <c:f>Components!$Q$5:$Q$8</c:f>
              <c:numCache>
                <c:formatCode>General</c:formatCode>
                <c:ptCount val="4"/>
                <c:pt idx="0">
                  <c:v>12</c:v>
                </c:pt>
                <c:pt idx="1">
                  <c:v>14</c:v>
                </c:pt>
                <c:pt idx="2">
                  <c:v>16</c:v>
                </c:pt>
                <c:pt idx="3">
                  <c:v>18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D0D5-484E-8886-1AD555C59F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39381416"/>
        <c:axId val="539381744"/>
      </c:scatterChart>
      <c:valAx>
        <c:axId val="539381416"/>
        <c:scaling>
          <c:orientation val="minMax"/>
          <c:max val="1000"/>
          <c:min val="30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39381744"/>
        <c:crosses val="autoZero"/>
        <c:crossBetween val="midCat"/>
      </c:valAx>
      <c:valAx>
        <c:axId val="5393817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3938141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XEL5050 - 15uH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poly"/>
            <c:order val="2"/>
            <c:dispRSqr val="0"/>
            <c:dispEq val="1"/>
            <c:trendlineLbl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Components!$M$5:$M$8</c:f>
              <c:numCache>
                <c:formatCode>General</c:formatCode>
                <c:ptCount val="4"/>
                <c:pt idx="0">
                  <c:v>300</c:v>
                </c:pt>
                <c:pt idx="1">
                  <c:v>500</c:v>
                </c:pt>
                <c:pt idx="2">
                  <c:v>800</c:v>
                </c:pt>
                <c:pt idx="3">
                  <c:v>1000</c:v>
                </c:pt>
              </c:numCache>
            </c:numRef>
          </c:xVal>
          <c:yVal>
            <c:numRef>
              <c:f>Components!$R$5:$R$8</c:f>
              <c:numCache>
                <c:formatCode>General</c:formatCode>
                <c:ptCount val="4"/>
                <c:pt idx="0">
                  <c:v>16</c:v>
                </c:pt>
                <c:pt idx="1">
                  <c:v>19</c:v>
                </c:pt>
                <c:pt idx="2">
                  <c:v>33</c:v>
                </c:pt>
                <c:pt idx="3">
                  <c:v>41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CE19-4ABA-B1D2-07806C7E5C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39381416"/>
        <c:axId val="539381744"/>
      </c:scatterChart>
      <c:valAx>
        <c:axId val="539381416"/>
        <c:scaling>
          <c:orientation val="minMax"/>
          <c:max val="1000"/>
          <c:min val="30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39381744"/>
        <c:crosses val="autoZero"/>
        <c:crossBetween val="midCat"/>
      </c:valAx>
      <c:valAx>
        <c:axId val="5393817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3938141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.xml"/><Relationship Id="rId7" Type="http://schemas.openxmlformats.org/officeDocument/2006/relationships/chart" Target="../charts/chart7.xml"/><Relationship Id="rId2" Type="http://schemas.openxmlformats.org/officeDocument/2006/relationships/chart" Target="../charts/chart4.xml"/><Relationship Id="rId1" Type="http://schemas.openxmlformats.org/officeDocument/2006/relationships/chart" Target="../charts/chart3.xml"/><Relationship Id="rId6" Type="http://schemas.openxmlformats.org/officeDocument/2006/relationships/chart" Target="../charts/chart6.xml"/><Relationship Id="rId5" Type="http://schemas.openxmlformats.org/officeDocument/2006/relationships/image" Target="../media/image4.png"/><Relationship Id="rId4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247650</xdr:colOff>
          <xdr:row>3</xdr:row>
          <xdr:rowOff>85725</xdr:rowOff>
        </xdr:from>
        <xdr:to>
          <xdr:col>3</xdr:col>
          <xdr:colOff>552450</xdr:colOff>
          <xdr:row>7</xdr:row>
          <xdr:rowOff>9525</xdr:rowOff>
        </xdr:to>
        <xdr:sp macro="" textlink="">
          <xdr:nvSpPr>
            <xdr:cNvPr id="2049" name="Object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0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4</xdr:col>
      <xdr:colOff>200025</xdr:colOff>
      <xdr:row>3</xdr:row>
      <xdr:rowOff>152400</xdr:rowOff>
    </xdr:from>
    <xdr:to>
      <xdr:col>11</xdr:col>
      <xdr:colOff>509866</xdr:colOff>
      <xdr:row>21</xdr:row>
      <xdr:rowOff>142875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38425" y="914400"/>
          <a:ext cx="4577041" cy="34194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95251</xdr:colOff>
      <xdr:row>1</xdr:row>
      <xdr:rowOff>63890</xdr:rowOff>
    </xdr:from>
    <xdr:to>
      <xdr:col>18</xdr:col>
      <xdr:colOff>529167</xdr:colOff>
      <xdr:row>20</xdr:row>
      <xdr:rowOff>21167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596634</xdr:colOff>
      <xdr:row>1</xdr:row>
      <xdr:rowOff>9572</xdr:rowOff>
    </xdr:from>
    <xdr:to>
      <xdr:col>26</xdr:col>
      <xdr:colOff>21165</xdr:colOff>
      <xdr:row>20</xdr:row>
      <xdr:rowOff>4842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342901</xdr:colOff>
      <xdr:row>12</xdr:row>
      <xdr:rowOff>66675</xdr:rowOff>
    </xdr:from>
    <xdr:to>
      <xdr:col>14</xdr:col>
      <xdr:colOff>209551</xdr:colOff>
      <xdr:row>28</xdr:row>
      <xdr:rowOff>76200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304800</xdr:colOff>
      <xdr:row>12</xdr:row>
      <xdr:rowOff>47625</xdr:rowOff>
    </xdr:from>
    <xdr:to>
      <xdr:col>17</xdr:col>
      <xdr:colOff>752475</xdr:colOff>
      <xdr:row>28</xdr:row>
      <xdr:rowOff>57150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17</xdr:col>
      <xdr:colOff>838200</xdr:colOff>
      <xdr:row>12</xdr:row>
      <xdr:rowOff>38100</xdr:rowOff>
    </xdr:from>
    <xdr:to>
      <xdr:col>23</xdr:col>
      <xdr:colOff>123825</xdr:colOff>
      <xdr:row>28</xdr:row>
      <xdr:rowOff>47625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142875</xdr:colOff>
      <xdr:row>14</xdr:row>
      <xdr:rowOff>142876</xdr:rowOff>
    </xdr:from>
    <xdr:to>
      <xdr:col>8</xdr:col>
      <xdr:colOff>600075</xdr:colOff>
      <xdr:row>30</xdr:row>
      <xdr:rowOff>38100</xdr:rowOff>
    </xdr:to>
    <xdr:grpSp>
      <xdr:nvGrpSpPr>
        <xdr:cNvPr id="12" name="Group 11">
          <a:extLst>
            <a:ext uri="{FF2B5EF4-FFF2-40B4-BE49-F238E27FC236}">
              <a16:creationId xmlns:a16="http://schemas.microsoft.com/office/drawing/2014/main" id="{E7D7FBEB-9961-6D00-9538-81EA04E533E4}"/>
            </a:ext>
          </a:extLst>
        </xdr:cNvPr>
        <xdr:cNvGrpSpPr/>
      </xdr:nvGrpSpPr>
      <xdr:grpSpPr>
        <a:xfrm>
          <a:off x="390525" y="3190876"/>
          <a:ext cx="7581900" cy="2943224"/>
          <a:chOff x="8439150" y="4191000"/>
          <a:chExt cx="10095238" cy="4381231"/>
        </a:xfrm>
      </xdr:grpSpPr>
      <xdr:pic>
        <xdr:nvPicPr>
          <xdr:cNvPr id="10" name="Picture 9">
            <a:extLst>
              <a:ext uri="{FF2B5EF4-FFF2-40B4-BE49-F238E27FC236}">
                <a16:creationId xmlns:a16="http://schemas.microsoft.com/office/drawing/2014/main" id="{F46DAA08-D655-BF20-6EC6-4CA1EB00DAB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/>
          <a:stretch>
            <a:fillRect/>
          </a:stretch>
        </xdr:blipFill>
        <xdr:spPr>
          <a:xfrm>
            <a:off x="8439150" y="4191000"/>
            <a:ext cx="10095238" cy="2180952"/>
          </a:xfrm>
          <a:prstGeom prst="rect">
            <a:avLst/>
          </a:prstGeom>
        </xdr:spPr>
      </xdr:pic>
      <xdr:pic>
        <xdr:nvPicPr>
          <xdr:cNvPr id="11" name="Picture 10">
            <a:extLst>
              <a:ext uri="{FF2B5EF4-FFF2-40B4-BE49-F238E27FC236}">
                <a16:creationId xmlns:a16="http://schemas.microsoft.com/office/drawing/2014/main" id="{D98EE2FA-3B79-6CB5-9BD5-6B1318D411E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/>
          <a:stretch>
            <a:fillRect/>
          </a:stretch>
        </xdr:blipFill>
        <xdr:spPr>
          <a:xfrm>
            <a:off x="8439150" y="6419850"/>
            <a:ext cx="10057143" cy="2152381"/>
          </a:xfrm>
          <a:prstGeom prst="rect">
            <a:avLst/>
          </a:prstGeom>
        </xdr:spPr>
      </xdr:pic>
    </xdr:grpSp>
    <xdr:clientData/>
  </xdr:twoCellAnchor>
  <xdr:twoCellAnchor>
    <xdr:from>
      <xdr:col>7</xdr:col>
      <xdr:colOff>161925</xdr:colOff>
      <xdr:row>24</xdr:row>
      <xdr:rowOff>171450</xdr:rowOff>
    </xdr:from>
    <xdr:to>
      <xdr:col>7</xdr:col>
      <xdr:colOff>590550</xdr:colOff>
      <xdr:row>27</xdr:row>
      <xdr:rowOff>114300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29A62D45-34FF-4D6E-946F-614D32A9DDD8}"/>
            </a:ext>
          </a:extLst>
        </xdr:cNvPr>
        <xdr:cNvSpPr/>
      </xdr:nvSpPr>
      <xdr:spPr>
        <a:xfrm>
          <a:off x="6429375" y="5124450"/>
          <a:ext cx="428625" cy="514350"/>
        </a:xfrm>
        <a:prstGeom prst="rect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142875</xdr:colOff>
      <xdr:row>17</xdr:row>
      <xdr:rowOff>47625</xdr:rowOff>
    </xdr:from>
    <xdr:to>
      <xdr:col>7</xdr:col>
      <xdr:colOff>571500</xdr:colOff>
      <xdr:row>19</xdr:row>
      <xdr:rowOff>180975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8504AB81-CB3E-4D02-91F6-FDFBF81B867F}"/>
            </a:ext>
          </a:extLst>
        </xdr:cNvPr>
        <xdr:cNvSpPr/>
      </xdr:nvSpPr>
      <xdr:spPr>
        <a:xfrm>
          <a:off x="6410325" y="3667125"/>
          <a:ext cx="428625" cy="514350"/>
        </a:xfrm>
        <a:prstGeom prst="rect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381000</xdr:colOff>
      <xdr:row>29</xdr:row>
      <xdr:rowOff>9525</xdr:rowOff>
    </xdr:from>
    <xdr:to>
      <xdr:col>14</xdr:col>
      <xdr:colOff>247650</xdr:colOff>
      <xdr:row>45</xdr:row>
      <xdr:rowOff>19050</xdr:rowOff>
    </xdr:to>
    <xdr:graphicFrame macro="">
      <xdr:nvGraphicFramePr>
        <xdr:cNvPr id="15" name="Chart 14">
          <a:extLst>
            <a:ext uri="{FF2B5EF4-FFF2-40B4-BE49-F238E27FC236}">
              <a16:creationId xmlns:a16="http://schemas.microsoft.com/office/drawing/2014/main" id="{7E1C49D4-5105-4445-9CB1-F360642443F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14</xdr:col>
      <xdr:colOff>381000</xdr:colOff>
      <xdr:row>28</xdr:row>
      <xdr:rowOff>180975</xdr:rowOff>
    </xdr:from>
    <xdr:to>
      <xdr:col>17</xdr:col>
      <xdr:colOff>828675</xdr:colOff>
      <xdr:row>45</xdr:row>
      <xdr:rowOff>0</xdr:rowOff>
    </xdr:to>
    <xdr:graphicFrame macro="">
      <xdr:nvGraphicFramePr>
        <xdr:cNvPr id="16" name="Chart 15">
          <a:extLst>
            <a:ext uri="{FF2B5EF4-FFF2-40B4-BE49-F238E27FC236}">
              <a16:creationId xmlns:a16="http://schemas.microsoft.com/office/drawing/2014/main" id="{2A5C3E0A-FE7B-4324-8DCE-B23ECE0ED4A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571500</xdr:colOff>
      <xdr:row>8</xdr:row>
      <xdr:rowOff>66676</xdr:rowOff>
    </xdr:from>
    <xdr:to>
      <xdr:col>14</xdr:col>
      <xdr:colOff>371475</xdr:colOff>
      <xdr:row>27</xdr:row>
      <xdr:rowOff>145918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675AAFA-240D-BC52-AAC4-32D11B2D49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924425" y="1590676"/>
          <a:ext cx="4676775" cy="3698742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2</xdr:row>
      <xdr:rowOff>133350</xdr:rowOff>
    </xdr:from>
    <xdr:to>
      <xdr:col>18</xdr:col>
      <xdr:colOff>9525</xdr:colOff>
      <xdr:row>6</xdr:row>
      <xdr:rowOff>173346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64AAE67B-D6A8-AEE4-DC66-627E6C2DC7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962525" y="514350"/>
          <a:ext cx="6715125" cy="8019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44168C-171D-46D6-A6A5-3AB7C0C6CA61}">
  <dimension ref="C3"/>
  <sheetViews>
    <sheetView workbookViewId="0">
      <selection activeCell="C14" sqref="C14"/>
    </sheetView>
  </sheetViews>
  <sheetFormatPr defaultRowHeight="15" x14ac:dyDescent="0.25"/>
  <sheetData>
    <row r="3" spans="3:3" x14ac:dyDescent="0.25">
      <c r="C3" t="s">
        <v>16</v>
      </c>
    </row>
  </sheetData>
  <pageMargins left="0.7" right="0.7" top="0.75" bottom="0.75" header="0.3" footer="0.3"/>
  <pageSetup orientation="portrait" horizontalDpi="1200" verticalDpi="1200" r:id="rId1"/>
  <drawing r:id="rId2"/>
  <legacyDrawing r:id="rId3"/>
  <oleObjects>
    <mc:AlternateContent xmlns:mc="http://schemas.openxmlformats.org/markup-compatibility/2006">
      <mc:Choice Requires="x14">
        <oleObject progId="Acrobat Document" dvAspect="DVASPECT_ICON" shapeId="2049" r:id="rId4">
          <objectPr defaultSize="0" r:id="rId5">
            <anchor moveWithCells="1">
              <from>
                <xdr:col>2</xdr:col>
                <xdr:colOff>247650</xdr:colOff>
                <xdr:row>3</xdr:row>
                <xdr:rowOff>85725</xdr:rowOff>
              </from>
              <to>
                <xdr:col>3</xdr:col>
                <xdr:colOff>552450</xdr:colOff>
                <xdr:row>7</xdr:row>
                <xdr:rowOff>9525</xdr:rowOff>
              </to>
            </anchor>
          </objectPr>
        </oleObject>
      </mc:Choice>
      <mc:Fallback>
        <oleObject progId="Acrobat Document" dvAspect="DVASPECT_ICON" shapeId="2049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5B53D3-5DB0-4E25-9EAA-DE6A3F9237A3}">
  <dimension ref="A1:Y123"/>
  <sheetViews>
    <sheetView tabSelected="1" zoomScale="90" zoomScaleNormal="90" workbookViewId="0">
      <pane ySplit="24" topLeftCell="A25" activePane="bottomLeft" state="frozen"/>
      <selection pane="bottomLeft" activeCell="J8" sqref="J8"/>
    </sheetView>
  </sheetViews>
  <sheetFormatPr defaultRowHeight="15" x14ac:dyDescent="0.25"/>
  <cols>
    <col min="1" max="1" width="12.85546875" customWidth="1"/>
    <col min="2" max="2" width="18.28515625" customWidth="1"/>
    <col min="3" max="3" width="8.42578125" customWidth="1"/>
    <col min="4" max="4" width="22.140625" customWidth="1"/>
    <col min="5" max="5" width="10.42578125" customWidth="1"/>
    <col min="6" max="6" width="11.28515625" customWidth="1"/>
    <col min="7" max="7" width="13.42578125" customWidth="1"/>
    <col min="8" max="8" width="14.140625" customWidth="1"/>
    <col min="9" max="10" width="14.42578125" customWidth="1"/>
    <col min="11" max="11" width="12.140625" customWidth="1"/>
    <col min="12" max="12" width="12.85546875" customWidth="1"/>
    <col min="13" max="13" width="9.140625" customWidth="1"/>
    <col min="14" max="14" width="12.28515625" customWidth="1"/>
    <col min="15" max="15" width="7.140625" customWidth="1"/>
    <col min="16" max="16" width="10" customWidth="1"/>
    <col min="17" max="17" width="11.7109375" customWidth="1"/>
    <col min="18" max="18" width="7.42578125" customWidth="1"/>
    <col min="19" max="19" width="12" customWidth="1"/>
    <col min="20" max="20" width="11.5703125" customWidth="1"/>
    <col min="21" max="21" width="12.42578125" customWidth="1"/>
    <col min="22" max="22" width="11.85546875" customWidth="1"/>
    <col min="23" max="23" width="10.28515625" customWidth="1"/>
    <col min="24" max="24" width="12.42578125" customWidth="1"/>
    <col min="25" max="25" width="12.85546875" customWidth="1"/>
  </cols>
  <sheetData>
    <row r="1" spans="1:12" ht="18.75" x14ac:dyDescent="0.3">
      <c r="A1" s="12" t="s">
        <v>102</v>
      </c>
      <c r="G1" s="24" t="s">
        <v>129</v>
      </c>
      <c r="H1" s="24"/>
      <c r="I1" s="24"/>
      <c r="J1" s="24"/>
      <c r="K1" s="24"/>
      <c r="L1" s="24"/>
    </row>
    <row r="2" spans="1:12" x14ac:dyDescent="0.25">
      <c r="A2" t="s">
        <v>90</v>
      </c>
      <c r="B2" s="8" t="s">
        <v>130</v>
      </c>
      <c r="D2" t="s">
        <v>103</v>
      </c>
      <c r="E2" s="17">
        <v>1</v>
      </c>
    </row>
    <row r="3" spans="1:12" x14ac:dyDescent="0.25">
      <c r="B3" s="15"/>
      <c r="D3" t="s">
        <v>96</v>
      </c>
      <c r="E3" s="17">
        <v>1</v>
      </c>
    </row>
    <row r="4" spans="1:12" x14ac:dyDescent="0.25">
      <c r="B4" s="15"/>
      <c r="D4" t="s">
        <v>97</v>
      </c>
      <c r="E4" s="17">
        <v>1</v>
      </c>
    </row>
    <row r="5" spans="1:12" x14ac:dyDescent="0.25">
      <c r="A5" t="s">
        <v>104</v>
      </c>
      <c r="B5" s="8">
        <v>12</v>
      </c>
      <c r="C5" t="s">
        <v>0</v>
      </c>
      <c r="D5" s="6" t="s">
        <v>1</v>
      </c>
      <c r="F5" t="s">
        <v>37</v>
      </c>
      <c r="G5" s="23">
        <v>10</v>
      </c>
      <c r="H5" t="s">
        <v>25</v>
      </c>
      <c r="I5" t="s">
        <v>40</v>
      </c>
    </row>
    <row r="6" spans="1:12" x14ac:dyDescent="0.25">
      <c r="A6" t="s">
        <v>105</v>
      </c>
      <c r="B6" s="8">
        <v>3.3</v>
      </c>
      <c r="C6" t="s">
        <v>0</v>
      </c>
      <c r="D6" s="6" t="s">
        <v>2</v>
      </c>
      <c r="F6" t="s">
        <v>38</v>
      </c>
      <c r="G6" s="23">
        <v>10</v>
      </c>
      <c r="H6" t="s">
        <v>25</v>
      </c>
      <c r="I6" t="s">
        <v>41</v>
      </c>
    </row>
    <row r="7" spans="1:12" x14ac:dyDescent="0.25">
      <c r="A7" t="s">
        <v>3</v>
      </c>
      <c r="B7" s="13">
        <f>B6/B5*100</f>
        <v>27.499999999999996</v>
      </c>
      <c r="C7" t="s">
        <v>15</v>
      </c>
      <c r="D7" s="6" t="s">
        <v>4</v>
      </c>
      <c r="F7" t="s">
        <v>39</v>
      </c>
      <c r="G7" s="23">
        <v>10</v>
      </c>
      <c r="H7" t="s">
        <v>25</v>
      </c>
      <c r="I7" t="s">
        <v>42</v>
      </c>
    </row>
    <row r="8" spans="1:12" x14ac:dyDescent="0.25">
      <c r="A8" t="s">
        <v>10</v>
      </c>
      <c r="B8" s="29">
        <v>500</v>
      </c>
      <c r="C8" t="s">
        <v>11</v>
      </c>
      <c r="D8" s="6" t="s">
        <v>14</v>
      </c>
      <c r="F8" t="s">
        <v>39</v>
      </c>
      <c r="G8" s="23">
        <v>10</v>
      </c>
      <c r="H8" t="s">
        <v>25</v>
      </c>
      <c r="I8" t="s">
        <v>43</v>
      </c>
    </row>
    <row r="9" spans="1:12" x14ac:dyDescent="0.25">
      <c r="A9" t="s">
        <v>23</v>
      </c>
      <c r="B9" s="14">
        <f>B7/100/(B8*1000)*1000000000</f>
        <v>549.99999999999989</v>
      </c>
      <c r="C9" t="s">
        <v>25</v>
      </c>
      <c r="D9" s="6" t="s">
        <v>26</v>
      </c>
      <c r="F9" t="s">
        <v>46</v>
      </c>
      <c r="G9" s="15">
        <v>0</v>
      </c>
      <c r="H9" t="s">
        <v>48</v>
      </c>
      <c r="I9" t="s">
        <v>128</v>
      </c>
    </row>
    <row r="10" spans="1:12" x14ac:dyDescent="0.25">
      <c r="A10" t="s">
        <v>24</v>
      </c>
      <c r="B10" s="14">
        <f>(1-B7/100)/(B8*1000)*1000000000</f>
        <v>1450</v>
      </c>
      <c r="C10" t="s">
        <v>25</v>
      </c>
      <c r="D10" s="6" t="s">
        <v>27</v>
      </c>
      <c r="F10" t="s">
        <v>47</v>
      </c>
      <c r="G10" s="15">
        <v>0</v>
      </c>
      <c r="H10" t="s">
        <v>48</v>
      </c>
      <c r="I10" t="s">
        <v>128</v>
      </c>
    </row>
    <row r="11" spans="1:12" x14ac:dyDescent="0.25">
      <c r="A11" t="s">
        <v>17</v>
      </c>
      <c r="B11" s="15">
        <f>VLOOKUP(Efficiency!B2, Components!C5:E10, 2,0)</f>
        <v>15</v>
      </c>
      <c r="C11" t="s">
        <v>18</v>
      </c>
      <c r="D11" s="6" t="s">
        <v>19</v>
      </c>
      <c r="F11" t="s">
        <v>50</v>
      </c>
      <c r="G11" s="23">
        <v>1</v>
      </c>
      <c r="H11" t="s">
        <v>0</v>
      </c>
      <c r="I11" t="s">
        <v>109</v>
      </c>
    </row>
    <row r="12" spans="1:12" ht="14.25" customHeight="1" x14ac:dyDescent="0.25">
      <c r="A12" t="s">
        <v>5</v>
      </c>
      <c r="B12" s="15">
        <f>IF(B5&gt;3.3,305, 370)</f>
        <v>305</v>
      </c>
      <c r="C12" t="s">
        <v>6</v>
      </c>
      <c r="D12" s="6" t="s">
        <v>12</v>
      </c>
      <c r="F12" t="s">
        <v>52</v>
      </c>
      <c r="G12" s="23">
        <v>20</v>
      </c>
      <c r="H12" t="s">
        <v>25</v>
      </c>
      <c r="I12" t="s">
        <v>54</v>
      </c>
    </row>
    <row r="13" spans="1:12" ht="15" customHeight="1" x14ac:dyDescent="0.25">
      <c r="A13" t="s">
        <v>7</v>
      </c>
      <c r="B13" s="15">
        <f>IF(B5&gt;3.3,178,203)</f>
        <v>178</v>
      </c>
      <c r="C13" t="s">
        <v>6</v>
      </c>
      <c r="D13" s="6" t="s">
        <v>13</v>
      </c>
      <c r="F13" t="s">
        <v>53</v>
      </c>
      <c r="G13" s="23">
        <v>20</v>
      </c>
      <c r="H13" t="s">
        <v>25</v>
      </c>
      <c r="I13" t="s">
        <v>55</v>
      </c>
    </row>
    <row r="14" spans="1:12" x14ac:dyDescent="0.25">
      <c r="A14" t="s">
        <v>8</v>
      </c>
      <c r="B14" s="15">
        <f>VLOOKUP(B2,Components!C5:E10,3,0)</f>
        <v>69.7</v>
      </c>
      <c r="C14" t="s">
        <v>6</v>
      </c>
      <c r="D14" s="6" t="s">
        <v>9</v>
      </c>
      <c r="F14" t="s">
        <v>56</v>
      </c>
      <c r="G14" s="15">
        <v>0</v>
      </c>
      <c r="H14" t="s">
        <v>58</v>
      </c>
      <c r="I14" t="s">
        <v>127</v>
      </c>
    </row>
    <row r="15" spans="1:12" x14ac:dyDescent="0.25">
      <c r="A15" t="s">
        <v>83</v>
      </c>
      <c r="B15" s="13">
        <f>VLOOKUP(B2,Components!C5:J10,8,0)</f>
        <v>21.631</v>
      </c>
      <c r="C15" t="s">
        <v>85</v>
      </c>
      <c r="D15" s="6" t="s">
        <v>84</v>
      </c>
      <c r="F15" t="s">
        <v>57</v>
      </c>
      <c r="G15" s="15">
        <v>0</v>
      </c>
      <c r="H15" t="s">
        <v>58</v>
      </c>
      <c r="I15" t="s">
        <v>127</v>
      </c>
    </row>
    <row r="16" spans="1:12" x14ac:dyDescent="0.25">
      <c r="B16" s="15"/>
      <c r="D16" s="6" t="s">
        <v>70</v>
      </c>
      <c r="F16" t="s">
        <v>60</v>
      </c>
      <c r="G16" s="15">
        <f>IF(B5&gt;5, 5, B5)</f>
        <v>5</v>
      </c>
      <c r="H16" t="s">
        <v>0</v>
      </c>
      <c r="I16" t="s">
        <v>61</v>
      </c>
    </row>
    <row r="17" spans="1:25" x14ac:dyDescent="0.25">
      <c r="A17" t="s">
        <v>30</v>
      </c>
      <c r="B17" s="8">
        <v>1</v>
      </c>
      <c r="C17" t="s">
        <v>28</v>
      </c>
      <c r="D17" s="6" t="s">
        <v>31</v>
      </c>
      <c r="F17" t="s">
        <v>62</v>
      </c>
      <c r="G17" s="8">
        <v>5</v>
      </c>
      <c r="H17" t="s">
        <v>6</v>
      </c>
      <c r="I17" t="s">
        <v>64</v>
      </c>
    </row>
    <row r="18" spans="1:25" x14ac:dyDescent="0.25">
      <c r="A18" t="s">
        <v>21</v>
      </c>
      <c r="B18" s="16">
        <f>(B5-B6)/(B11*0.000001)*B9*0.000000001</f>
        <v>0.31899999999999995</v>
      </c>
      <c r="C18" t="s">
        <v>28</v>
      </c>
      <c r="D18" s="6" t="s">
        <v>75</v>
      </c>
      <c r="F18" t="s">
        <v>63</v>
      </c>
      <c r="G18" s="8">
        <v>5</v>
      </c>
      <c r="H18" t="s">
        <v>6</v>
      </c>
      <c r="I18" t="s">
        <v>65</v>
      </c>
    </row>
    <row r="19" spans="1:25" x14ac:dyDescent="0.25">
      <c r="A19" t="s">
        <v>22</v>
      </c>
      <c r="B19" s="16">
        <f>B6/(B11*0.000001)*B10*0.000000001</f>
        <v>0.31900000000000001</v>
      </c>
      <c r="C19" t="s">
        <v>29</v>
      </c>
      <c r="D19" s="6" t="s">
        <v>76</v>
      </c>
      <c r="F19" t="s">
        <v>79</v>
      </c>
      <c r="G19" s="25">
        <f>B5</f>
        <v>12</v>
      </c>
      <c r="H19" t="s">
        <v>0</v>
      </c>
      <c r="I19" t="s">
        <v>125</v>
      </c>
    </row>
    <row r="20" spans="1:25" ht="30" x14ac:dyDescent="0.25">
      <c r="A20" t="s">
        <v>32</v>
      </c>
      <c r="B20" s="13">
        <f>B18/(B17/E2)*100</f>
        <v>31.899999999999995</v>
      </c>
      <c r="C20" t="s">
        <v>15</v>
      </c>
      <c r="D20" s="6" t="s">
        <v>33</v>
      </c>
      <c r="F20" t="s">
        <v>77</v>
      </c>
      <c r="G20" s="13">
        <f>IF(G19&lt;12, VLOOKUP(B8,'Operating Current'!B13:E27,2,0), IF(G19&lt;18, VLOOKUP(B8,'Operating Current'!B13:E27,3,0), IF(G19=18, VLOOKUP(B8,'Operating Current'!B13:E27,4,0))))</f>
        <v>8.3000000000000007</v>
      </c>
      <c r="H20" t="s">
        <v>78</v>
      </c>
      <c r="I20" t="s">
        <v>126</v>
      </c>
    </row>
    <row r="22" spans="1:25" s="6" customFormat="1" ht="30" customHeight="1" x14ac:dyDescent="0.25">
      <c r="A22" s="6" t="s">
        <v>34</v>
      </c>
      <c r="B22" s="6" t="s">
        <v>107</v>
      </c>
      <c r="C22" s="6" t="s">
        <v>20</v>
      </c>
      <c r="D22" s="6" t="s">
        <v>35</v>
      </c>
      <c r="E22" s="6" t="s">
        <v>36</v>
      </c>
      <c r="F22" s="6" t="s">
        <v>99</v>
      </c>
      <c r="G22" s="6" t="s">
        <v>98</v>
      </c>
      <c r="H22" s="6" t="s">
        <v>44</v>
      </c>
      <c r="I22" s="6" t="s">
        <v>45</v>
      </c>
      <c r="J22" s="6" t="s">
        <v>49</v>
      </c>
      <c r="K22" s="6" t="s">
        <v>51</v>
      </c>
      <c r="L22" s="6" t="s">
        <v>59</v>
      </c>
      <c r="M22" s="6" t="s">
        <v>66</v>
      </c>
      <c r="N22" s="6" t="s">
        <v>81</v>
      </c>
      <c r="O22" s="6" t="s">
        <v>67</v>
      </c>
      <c r="P22" s="6" t="s">
        <v>68</v>
      </c>
      <c r="Q22" s="6" t="s">
        <v>69</v>
      </c>
      <c r="R22" s="6" t="s">
        <v>108</v>
      </c>
      <c r="S22" s="6" t="s">
        <v>71</v>
      </c>
      <c r="T22" s="6" t="s">
        <v>72</v>
      </c>
      <c r="U22" s="6" t="s">
        <v>82</v>
      </c>
      <c r="V22" s="6" t="s">
        <v>73</v>
      </c>
      <c r="W22" s="6" t="s">
        <v>74</v>
      </c>
      <c r="X22" s="6" t="s">
        <v>80</v>
      </c>
      <c r="Y22" s="6" t="s">
        <v>106</v>
      </c>
    </row>
    <row r="23" spans="1:25" x14ac:dyDescent="0.25">
      <c r="A23">
        <v>0</v>
      </c>
      <c r="B23">
        <f t="shared" ref="B23:B54" si="0">$B$17/$E$2*A23/100</f>
        <v>0</v>
      </c>
      <c r="C23" s="3">
        <f t="shared" ref="C23:C73" si="1">(B23^2 + $B$18^2/12)^0.5</f>
        <v>9.208736793574529E-2</v>
      </c>
      <c r="D23" s="2">
        <f t="shared" ref="D23:D54" si="2">(C23/$E$2)^2*$B$12/1000*$B$7/100*$E$2</f>
        <v>7.1126698958333292E-4</v>
      </c>
      <c r="E23" s="2">
        <f t="shared" ref="E23:E54" si="3">(C23/$E$2)^2*$B$13/1000*(1-$B$7/100)*$E$2</f>
        <v>1.0943547541666663E-3</v>
      </c>
      <c r="F23" s="2">
        <f t="shared" ref="F23:F54" si="4">(C23/$E$2)^2*($B$16/1000)*$E$2</f>
        <v>0</v>
      </c>
      <c r="G23" s="2">
        <f t="shared" ref="G23:G54" si="5">(C23/$E$2)^2*($B$14/1000)*$E$2 + $B$15/1000*$E$2</f>
        <v>2.2222061808333336E-2</v>
      </c>
      <c r="H23" s="2">
        <f t="shared" ref="H23:H54" si="6">0.5*$B$5*C23/$E$2*($G$5+$G$6)*$E$2*0.000000001*$B$8*1000</f>
        <v>5.5252420761447187E-3</v>
      </c>
      <c r="I23" s="2">
        <f t="shared" ref="I23:I54" si="7">0.5*$G$11*C23/$E$2*($G$7+$G$8)*$E$2*0.000000001*$B$8*1000</f>
        <v>4.604368396787265E-4</v>
      </c>
      <c r="J23" s="2">
        <f t="shared" ref="J23:J54" si="8">0.5*($G$9+$G$10)*$E$2*0.000000000001*($B$5)^2*$B$8*1000</f>
        <v>0</v>
      </c>
      <c r="K23" s="2">
        <f>$G$11*C23/$E$2*($G$12+$G$13)*$E$2*0.000000001*$B$8*1000</f>
        <v>1.841747358714906E-3</v>
      </c>
      <c r="L23" s="2">
        <f>($G$14+$G$15)*$E$2*0.000000001*$G$16*$B$8*1000</f>
        <v>0</v>
      </c>
      <c r="M23" s="2">
        <f>($B$18/(2*3^0.5))^2*$G$17/1000+(C23*(($B$5-$B$6)*$B$6)^0.5/$B$5)^2*$G$18/1000</f>
        <v>5.0853999739583323E-5</v>
      </c>
      <c r="N23" s="3">
        <f>$G$19*$G$20/1000*$E$2/2</f>
        <v>4.9800000000000004E-2</v>
      </c>
      <c r="O23" s="3">
        <f t="shared" ref="O23:O54" si="9">SUM(D23:M23,N23)</f>
        <v>8.1705963826361278E-2</v>
      </c>
      <c r="P23" s="3">
        <f t="shared" ref="P23:P54" si="10">$B$6*B23</f>
        <v>0</v>
      </c>
      <c r="Q23" s="3">
        <f>P23/(O23+P23)*100</f>
        <v>0</v>
      </c>
      <c r="R23">
        <f>$B$17/$E$2*A23/100</f>
        <v>0</v>
      </c>
      <c r="S23" s="1">
        <f t="shared" ref="S23:S54" si="11">D23+E23+F23+G23+M23</f>
        <v>2.4078537551822918E-2</v>
      </c>
      <c r="T23" s="2">
        <f t="shared" ref="T23:T54" si="12">SUM(H23:L23)</f>
        <v>7.8274262745383506E-3</v>
      </c>
      <c r="U23" s="3">
        <f t="shared" ref="U23:U54" si="13">N23/O23*100</f>
        <v>60.950263197229106</v>
      </c>
      <c r="V23" s="5">
        <f t="shared" ref="V23:V54" si="14">S23/O23*100</f>
        <v>29.469742995742394</v>
      </c>
      <c r="W23" s="5">
        <f t="shared" ref="W23:W54" si="15">T23/O23*100</f>
        <v>9.579993807028492</v>
      </c>
      <c r="X23" s="9">
        <f>MAX(Q23:Q73)</f>
        <v>89.774420148213693</v>
      </c>
      <c r="Y23" s="9">
        <f>VLOOKUP(X23,Q23:R73,2,0)</f>
        <v>0.52</v>
      </c>
    </row>
    <row r="24" spans="1:25" x14ac:dyDescent="0.25">
      <c r="A24">
        <f t="shared" ref="A24:A55" si="16">A23+2*$E$2</f>
        <v>2</v>
      </c>
      <c r="B24">
        <f t="shared" si="0"/>
        <v>0.02</v>
      </c>
      <c r="C24" s="3">
        <f t="shared" si="1"/>
        <v>9.4234194076955574E-2</v>
      </c>
      <c r="D24" s="2">
        <f t="shared" si="2"/>
        <v>7.4481698958333285E-4</v>
      </c>
      <c r="E24" s="2">
        <f t="shared" si="3"/>
        <v>1.1459747541666661E-3</v>
      </c>
      <c r="F24" s="2">
        <f t="shared" si="4"/>
        <v>0</v>
      </c>
      <c r="G24" s="2">
        <f t="shared" si="5"/>
        <v>2.2249941808333333E-2</v>
      </c>
      <c r="H24" s="2">
        <f t="shared" si="6"/>
        <v>5.6540516446173354E-3</v>
      </c>
      <c r="I24" s="2">
        <f t="shared" si="7"/>
        <v>4.7117097038477788E-4</v>
      </c>
      <c r="J24" s="2">
        <f t="shared" si="8"/>
        <v>0</v>
      </c>
      <c r="K24" s="2">
        <f t="shared" ref="K24:K54" si="17">$G$11*C24/$E$2*($G$12+$G$13)*$E$2*0.000000001*$B$8*1000</f>
        <v>1.8846838815391115E-3</v>
      </c>
      <c r="L24" s="2">
        <f t="shared" ref="L24:L54" si="18">($G$14+$G$15)*$E$2*0.000000001*$G$16*$B$8*1000</f>
        <v>0</v>
      </c>
      <c r="M24" s="2">
        <f t="shared" ref="M24:M54" si="19">($B$18/(2*3^0.5))^2*$G$17/1000+(C24*(($B$5-$B$6)*$B$6)^0.5/$B$5)^2*$G$18/1000</f>
        <v>5.1252749739583327E-5</v>
      </c>
      <c r="N24" s="3">
        <f t="shared" ref="N24:N73" si="20">$G$19*$G$20/1000*$E$2/2</f>
        <v>4.9800000000000004E-2</v>
      </c>
      <c r="O24" s="3">
        <f t="shared" si="9"/>
        <v>8.2001892798364145E-2</v>
      </c>
      <c r="P24" s="3">
        <f t="shared" si="10"/>
        <v>6.6000000000000003E-2</v>
      </c>
      <c r="Q24" s="3">
        <f t="shared" ref="Q24:Q73" si="21">P24/(O24+P24)*100</f>
        <v>44.594024273674357</v>
      </c>
      <c r="R24">
        <f t="shared" ref="R24:R73" si="22">$B$17/$E$2*A24/100</f>
        <v>0.02</v>
      </c>
      <c r="S24" s="1">
        <f t="shared" si="11"/>
        <v>2.4191986301822916E-2</v>
      </c>
      <c r="T24" s="2">
        <f t="shared" si="12"/>
        <v>8.0099064965412255E-3</v>
      </c>
      <c r="U24" s="3">
        <f t="shared" si="13"/>
        <v>60.73030548508688</v>
      </c>
      <c r="V24" s="5">
        <f t="shared" si="14"/>
        <v>29.501741333348246</v>
      </c>
      <c r="W24" s="5">
        <f t="shared" si="15"/>
        <v>9.7679531815648719</v>
      </c>
    </row>
    <row r="25" spans="1:25" x14ac:dyDescent="0.25">
      <c r="A25">
        <f t="shared" si="16"/>
        <v>4</v>
      </c>
      <c r="B25">
        <f t="shared" si="0"/>
        <v>0.04</v>
      </c>
      <c r="C25" s="3">
        <f t="shared" si="1"/>
        <v>0.10039961819316512</v>
      </c>
      <c r="D25" s="2">
        <f t="shared" si="2"/>
        <v>8.4546698958333315E-4</v>
      </c>
      <c r="E25" s="2">
        <f t="shared" si="3"/>
        <v>1.3008347541666667E-3</v>
      </c>
      <c r="F25" s="2">
        <f t="shared" si="4"/>
        <v>0</v>
      </c>
      <c r="G25" s="2">
        <f t="shared" si="5"/>
        <v>2.2333581808333332E-2</v>
      </c>
      <c r="H25" s="2">
        <f t="shared" si="6"/>
        <v>6.0239770915899091E-3</v>
      </c>
      <c r="I25" s="2">
        <f t="shared" si="7"/>
        <v>5.0199809096582561E-4</v>
      </c>
      <c r="J25" s="2">
        <f t="shared" si="8"/>
        <v>0</v>
      </c>
      <c r="K25" s="2">
        <f t="shared" si="17"/>
        <v>2.0079923638633024E-3</v>
      </c>
      <c r="L25" s="2">
        <f t="shared" si="18"/>
        <v>0</v>
      </c>
      <c r="M25" s="2">
        <f t="shared" si="19"/>
        <v>5.2448999739583331E-5</v>
      </c>
      <c r="N25" s="3">
        <f t="shared" si="20"/>
        <v>4.9800000000000004E-2</v>
      </c>
      <c r="O25" s="3">
        <f t="shared" si="9"/>
        <v>8.286630009824196E-2</v>
      </c>
      <c r="P25" s="3">
        <f t="shared" si="10"/>
        <v>0.13200000000000001</v>
      </c>
      <c r="Q25" s="3">
        <f t="shared" si="21"/>
        <v>61.433551906300089</v>
      </c>
      <c r="R25">
        <f t="shared" si="22"/>
        <v>0.04</v>
      </c>
      <c r="S25" s="1">
        <f t="shared" si="11"/>
        <v>2.4532332551822914E-2</v>
      </c>
      <c r="T25" s="2">
        <f t="shared" si="12"/>
        <v>8.5339675464190367E-3</v>
      </c>
      <c r="U25" s="3">
        <f t="shared" si="13"/>
        <v>60.096806471339647</v>
      </c>
      <c r="V25" s="5">
        <f t="shared" si="14"/>
        <v>29.604715695932676</v>
      </c>
      <c r="W25" s="5">
        <f t="shared" si="15"/>
        <v>10.298477832727672</v>
      </c>
    </row>
    <row r="26" spans="1:25" x14ac:dyDescent="0.25">
      <c r="A26">
        <f t="shared" si="16"/>
        <v>6</v>
      </c>
      <c r="B26">
        <f t="shared" si="0"/>
        <v>0.06</v>
      </c>
      <c r="C26" s="3">
        <f t="shared" si="1"/>
        <v>0.10990943241293412</v>
      </c>
      <c r="D26" s="2">
        <f t="shared" si="2"/>
        <v>1.0132169895833332E-3</v>
      </c>
      <c r="E26" s="2">
        <f t="shared" si="3"/>
        <v>1.5589347541666667E-3</v>
      </c>
      <c r="F26" s="2">
        <f t="shared" si="4"/>
        <v>0</v>
      </c>
      <c r="G26" s="2">
        <f t="shared" si="5"/>
        <v>2.2472981808333334E-2</v>
      </c>
      <c r="H26" s="2">
        <f t="shared" si="6"/>
        <v>6.5945659447760466E-3</v>
      </c>
      <c r="I26" s="2">
        <f t="shared" si="7"/>
        <v>5.4954716206467066E-4</v>
      </c>
      <c r="J26" s="2">
        <f t="shared" si="8"/>
        <v>0</v>
      </c>
      <c r="K26" s="2">
        <f t="shared" si="17"/>
        <v>2.1981886482586826E-3</v>
      </c>
      <c r="L26" s="2">
        <f t="shared" si="18"/>
        <v>0</v>
      </c>
      <c r="M26" s="2">
        <f t="shared" si="19"/>
        <v>5.4442749739583329E-5</v>
      </c>
      <c r="N26" s="3">
        <f t="shared" si="20"/>
        <v>4.9800000000000004E-2</v>
      </c>
      <c r="O26" s="3">
        <f t="shared" si="9"/>
        <v>8.424187805692232E-2</v>
      </c>
      <c r="P26" s="3">
        <f t="shared" si="10"/>
        <v>0.19799999999999998</v>
      </c>
      <c r="Q26" s="3">
        <f t="shared" si="21"/>
        <v>70.152594421182073</v>
      </c>
      <c r="R26">
        <f t="shared" si="22"/>
        <v>0.06</v>
      </c>
      <c r="S26" s="1">
        <f t="shared" si="11"/>
        <v>2.5099576301822919E-2</v>
      </c>
      <c r="T26" s="2">
        <f t="shared" si="12"/>
        <v>9.3423017550994004E-3</v>
      </c>
      <c r="U26" s="3">
        <f t="shared" si="13"/>
        <v>59.115491188776794</v>
      </c>
      <c r="V26" s="5">
        <f t="shared" si="14"/>
        <v>29.794654251253881</v>
      </c>
      <c r="W26" s="5">
        <f t="shared" si="15"/>
        <v>11.089854559969329</v>
      </c>
    </row>
    <row r="27" spans="1:25" x14ac:dyDescent="0.25">
      <c r="A27">
        <f t="shared" si="16"/>
        <v>8</v>
      </c>
      <c r="B27">
        <f t="shared" si="0"/>
        <v>0.08</v>
      </c>
      <c r="C27" s="3">
        <f t="shared" si="1"/>
        <v>0.12198394703129314</v>
      </c>
      <c r="D27" s="2">
        <f t="shared" si="2"/>
        <v>1.2480669895833332E-3</v>
      </c>
      <c r="E27" s="2">
        <f t="shared" si="3"/>
        <v>1.9202747541666669E-3</v>
      </c>
      <c r="F27" s="2">
        <f t="shared" si="4"/>
        <v>0</v>
      </c>
      <c r="G27" s="2">
        <f t="shared" si="5"/>
        <v>2.2668141808333334E-2</v>
      </c>
      <c r="H27" s="2">
        <f t="shared" si="6"/>
        <v>7.3190368218775887E-3</v>
      </c>
      <c r="I27" s="2">
        <f t="shared" si="7"/>
        <v>6.0991973515646576E-4</v>
      </c>
      <c r="J27" s="2">
        <f t="shared" si="8"/>
        <v>0</v>
      </c>
      <c r="K27" s="2">
        <f t="shared" si="17"/>
        <v>2.439678940625863E-3</v>
      </c>
      <c r="L27" s="2">
        <f t="shared" si="18"/>
        <v>0</v>
      </c>
      <c r="M27" s="2">
        <f t="shared" si="19"/>
        <v>5.7233999739583327E-5</v>
      </c>
      <c r="N27" s="3">
        <f t="shared" si="20"/>
        <v>4.9800000000000004E-2</v>
      </c>
      <c r="O27" s="3">
        <f t="shared" si="9"/>
        <v>8.6062353049482843E-2</v>
      </c>
      <c r="P27" s="3">
        <f t="shared" si="10"/>
        <v>0.26400000000000001</v>
      </c>
      <c r="Q27" s="3">
        <f t="shared" si="21"/>
        <v>75.415136103676488</v>
      </c>
      <c r="R27">
        <f t="shared" si="22"/>
        <v>0.08</v>
      </c>
      <c r="S27" s="1">
        <f t="shared" si="11"/>
        <v>2.5893717551822917E-2</v>
      </c>
      <c r="T27" s="2">
        <f t="shared" si="12"/>
        <v>1.0368635497659918E-2</v>
      </c>
      <c r="U27" s="3">
        <f t="shared" si="13"/>
        <v>57.865022550994794</v>
      </c>
      <c r="V27" s="5">
        <f t="shared" si="14"/>
        <v>30.087159639865916</v>
      </c>
      <c r="W27" s="5">
        <f t="shared" si="15"/>
        <v>12.047817809139282</v>
      </c>
    </row>
    <row r="28" spans="1:25" x14ac:dyDescent="0.25">
      <c r="A28">
        <f t="shared" si="16"/>
        <v>10</v>
      </c>
      <c r="B28">
        <f t="shared" si="0"/>
        <v>0.1</v>
      </c>
      <c r="C28" s="3">
        <f t="shared" si="1"/>
        <v>0.13594147024853503</v>
      </c>
      <c r="D28" s="2">
        <f t="shared" si="2"/>
        <v>1.5500169895833334E-3</v>
      </c>
      <c r="E28" s="2">
        <f t="shared" si="3"/>
        <v>2.3848547541666671E-3</v>
      </c>
      <c r="F28" s="2">
        <f t="shared" si="4"/>
        <v>0</v>
      </c>
      <c r="G28" s="2">
        <f t="shared" si="5"/>
        <v>2.2919061808333335E-2</v>
      </c>
      <c r="H28" s="2">
        <f t="shared" si="6"/>
        <v>8.1564882149121002E-3</v>
      </c>
      <c r="I28" s="2">
        <f t="shared" si="7"/>
        <v>6.7970735124267523E-4</v>
      </c>
      <c r="J28" s="2">
        <f t="shared" si="8"/>
        <v>0</v>
      </c>
      <c r="K28" s="2">
        <f t="shared" si="17"/>
        <v>2.7188294049707009E-3</v>
      </c>
      <c r="L28" s="2">
        <f t="shared" si="18"/>
        <v>0</v>
      </c>
      <c r="M28" s="2">
        <f t="shared" si="19"/>
        <v>6.0822749739583325E-5</v>
      </c>
      <c r="N28" s="3">
        <f t="shared" si="20"/>
        <v>4.9800000000000004E-2</v>
      </c>
      <c r="O28" s="3">
        <f t="shared" si="9"/>
        <v>8.8269781272948405E-2</v>
      </c>
      <c r="P28" s="3">
        <f t="shared" si="10"/>
        <v>0.33</v>
      </c>
      <c r="Q28" s="3">
        <f t="shared" si="21"/>
        <v>78.896447884829001</v>
      </c>
      <c r="R28">
        <f t="shared" si="22"/>
        <v>0.1</v>
      </c>
      <c r="S28" s="1">
        <f t="shared" si="11"/>
        <v>2.6914756301822919E-2</v>
      </c>
      <c r="T28" s="2">
        <f t="shared" si="12"/>
        <v>1.1555024971125476E-2</v>
      </c>
      <c r="U28" s="3">
        <f t="shared" si="13"/>
        <v>56.417948794965412</v>
      </c>
      <c r="V28" s="5">
        <f t="shared" si="14"/>
        <v>30.491472748297554</v>
      </c>
      <c r="W28" s="5">
        <f t="shared" si="15"/>
        <v>13.090578456737024</v>
      </c>
    </row>
    <row r="29" spans="1:25" x14ac:dyDescent="0.25">
      <c r="A29">
        <f t="shared" si="16"/>
        <v>12</v>
      </c>
      <c r="B29">
        <f t="shared" si="0"/>
        <v>0.12</v>
      </c>
      <c r="C29" s="3">
        <f t="shared" si="1"/>
        <v>0.15126163867066009</v>
      </c>
      <c r="D29" s="2">
        <f t="shared" si="2"/>
        <v>1.9190669895833329E-3</v>
      </c>
      <c r="E29" s="2">
        <f t="shared" si="3"/>
        <v>2.9526747541666668E-3</v>
      </c>
      <c r="F29" s="2">
        <f t="shared" si="4"/>
        <v>0</v>
      </c>
      <c r="G29" s="2">
        <f t="shared" si="5"/>
        <v>2.3225741808333335E-2</v>
      </c>
      <c r="H29" s="2">
        <f t="shared" si="6"/>
        <v>9.075698320239604E-3</v>
      </c>
      <c r="I29" s="2">
        <f t="shared" si="7"/>
        <v>7.5630819335330052E-4</v>
      </c>
      <c r="J29" s="2">
        <f t="shared" si="8"/>
        <v>0</v>
      </c>
      <c r="K29" s="2">
        <f t="shared" si="17"/>
        <v>3.0252327734132021E-3</v>
      </c>
      <c r="L29" s="2">
        <f t="shared" si="18"/>
        <v>0</v>
      </c>
      <c r="M29" s="2">
        <f t="shared" si="19"/>
        <v>6.5208999739583331E-5</v>
      </c>
      <c r="N29" s="3">
        <f t="shared" si="20"/>
        <v>4.9800000000000004E-2</v>
      </c>
      <c r="O29" s="3">
        <f t="shared" si="9"/>
        <v>9.0819931838829027E-2</v>
      </c>
      <c r="P29" s="3">
        <f t="shared" si="10"/>
        <v>0.39599999999999996</v>
      </c>
      <c r="Q29" s="3">
        <f t="shared" si="21"/>
        <v>81.344245397721977</v>
      </c>
      <c r="R29">
        <f t="shared" si="22"/>
        <v>0.12</v>
      </c>
      <c r="S29" s="1">
        <f t="shared" si="11"/>
        <v>2.816269255182292E-2</v>
      </c>
      <c r="T29" s="2">
        <f t="shared" si="12"/>
        <v>1.2857239287006108E-2</v>
      </c>
      <c r="U29" s="3">
        <f t="shared" si="13"/>
        <v>54.833778215531083</v>
      </c>
      <c r="V29" s="5">
        <f t="shared" si="14"/>
        <v>31.009374243751946</v>
      </c>
      <c r="W29" s="5">
        <f t="shared" si="15"/>
        <v>14.156847540716983</v>
      </c>
    </row>
    <row r="30" spans="1:25" x14ac:dyDescent="0.25">
      <c r="A30">
        <f t="shared" si="16"/>
        <v>14</v>
      </c>
      <c r="B30">
        <f t="shared" si="0"/>
        <v>0.14000000000000001</v>
      </c>
      <c r="C30" s="3">
        <f t="shared" si="1"/>
        <v>0.16757112917604075</v>
      </c>
      <c r="D30" s="2">
        <f t="shared" si="2"/>
        <v>2.3552169895833331E-3</v>
      </c>
      <c r="E30" s="2">
        <f t="shared" si="3"/>
        <v>3.6237347541666679E-3</v>
      </c>
      <c r="F30" s="2">
        <f t="shared" si="4"/>
        <v>0</v>
      </c>
      <c r="G30" s="2">
        <f t="shared" si="5"/>
        <v>2.3588181808333334E-2</v>
      </c>
      <c r="H30" s="2">
        <f t="shared" si="6"/>
        <v>1.0054267750562446E-2</v>
      </c>
      <c r="I30" s="2">
        <f t="shared" si="7"/>
        <v>8.3785564588020379E-4</v>
      </c>
      <c r="J30" s="2">
        <f t="shared" si="8"/>
        <v>0</v>
      </c>
      <c r="K30" s="2">
        <f t="shared" si="17"/>
        <v>3.3514225835208152E-3</v>
      </c>
      <c r="L30" s="2">
        <f t="shared" si="18"/>
        <v>0</v>
      </c>
      <c r="M30" s="2">
        <f t="shared" si="19"/>
        <v>7.0392749739583337E-5</v>
      </c>
      <c r="N30" s="3">
        <f t="shared" si="20"/>
        <v>4.9800000000000004E-2</v>
      </c>
      <c r="O30" s="3">
        <f t="shared" si="9"/>
        <v>9.3681072281786376E-2</v>
      </c>
      <c r="P30" s="3">
        <f t="shared" si="10"/>
        <v>0.46200000000000002</v>
      </c>
      <c r="Q30" s="3">
        <f t="shared" si="21"/>
        <v>83.141215896178551</v>
      </c>
      <c r="R30">
        <f t="shared" si="22"/>
        <v>0.14000000000000001</v>
      </c>
      <c r="S30" s="1">
        <f t="shared" si="11"/>
        <v>2.9637526301822915E-2</v>
      </c>
      <c r="T30" s="2">
        <f t="shared" si="12"/>
        <v>1.4243545979963464E-2</v>
      </c>
      <c r="U30" s="3">
        <f t="shared" si="13"/>
        <v>53.159084099939577</v>
      </c>
      <c r="V30" s="5">
        <f t="shared" si="14"/>
        <v>31.636621550055732</v>
      </c>
      <c r="W30" s="5">
        <f t="shared" si="15"/>
        <v>15.204294350004698</v>
      </c>
    </row>
    <row r="31" spans="1:25" x14ac:dyDescent="0.25">
      <c r="A31">
        <f t="shared" si="16"/>
        <v>16</v>
      </c>
      <c r="B31">
        <f t="shared" si="0"/>
        <v>0.16</v>
      </c>
      <c r="C31" s="3">
        <f t="shared" si="1"/>
        <v>0.1846079178511402</v>
      </c>
      <c r="D31" s="2">
        <f t="shared" si="2"/>
        <v>2.8584669895833324E-3</v>
      </c>
      <c r="E31" s="2">
        <f t="shared" si="3"/>
        <v>4.3980347541666669E-3</v>
      </c>
      <c r="F31" s="2">
        <f t="shared" si="4"/>
        <v>0</v>
      </c>
      <c r="G31" s="2">
        <f t="shared" si="5"/>
        <v>2.4006381808333335E-2</v>
      </c>
      <c r="H31" s="2">
        <f t="shared" si="6"/>
        <v>1.1076475071068412E-2</v>
      </c>
      <c r="I31" s="2">
        <f t="shared" si="7"/>
        <v>9.2303958925570094E-4</v>
      </c>
      <c r="J31" s="2">
        <f t="shared" si="8"/>
        <v>0</v>
      </c>
      <c r="K31" s="2">
        <f t="shared" si="17"/>
        <v>3.6921583570228038E-3</v>
      </c>
      <c r="L31" s="2">
        <f t="shared" si="18"/>
        <v>0</v>
      </c>
      <c r="M31" s="2">
        <f t="shared" si="19"/>
        <v>7.6373999739583323E-5</v>
      </c>
      <c r="N31" s="3">
        <f t="shared" si="20"/>
        <v>4.9800000000000004E-2</v>
      </c>
      <c r="O31" s="3">
        <f t="shared" si="9"/>
        <v>9.6830930569169832E-2</v>
      </c>
      <c r="P31" s="3">
        <f t="shared" si="10"/>
        <v>0.52800000000000002</v>
      </c>
      <c r="Q31" s="3">
        <f t="shared" si="21"/>
        <v>84.502858960428739</v>
      </c>
      <c r="R31">
        <f t="shared" si="22"/>
        <v>0.16</v>
      </c>
      <c r="S31" s="1">
        <f t="shared" si="11"/>
        <v>3.1339257551822916E-2</v>
      </c>
      <c r="T31" s="2">
        <f t="shared" si="12"/>
        <v>1.5691673017346915E-2</v>
      </c>
      <c r="U31" s="3">
        <f t="shared" si="13"/>
        <v>51.429847577914231</v>
      </c>
      <c r="V31" s="5">
        <f t="shared" si="14"/>
        <v>32.364924479824296</v>
      </c>
      <c r="W31" s="5">
        <f t="shared" si="15"/>
        <v>16.205227942261473</v>
      </c>
    </row>
    <row r="32" spans="1:25" x14ac:dyDescent="0.25">
      <c r="A32">
        <f t="shared" si="16"/>
        <v>18</v>
      </c>
      <c r="B32">
        <f t="shared" si="0"/>
        <v>0.18</v>
      </c>
      <c r="C32" s="3">
        <f t="shared" si="1"/>
        <v>0.20218823737629579</v>
      </c>
      <c r="D32" s="2">
        <f t="shared" si="2"/>
        <v>3.4288169895833327E-3</v>
      </c>
      <c r="E32" s="2">
        <f t="shared" si="3"/>
        <v>5.2755747541666682E-3</v>
      </c>
      <c r="F32" s="2">
        <f t="shared" si="4"/>
        <v>0</v>
      </c>
      <c r="G32" s="2">
        <f t="shared" si="5"/>
        <v>2.4480341808333334E-2</v>
      </c>
      <c r="H32" s="2">
        <f t="shared" si="6"/>
        <v>1.213129424257775E-2</v>
      </c>
      <c r="I32" s="2">
        <f t="shared" si="7"/>
        <v>1.0109411868814793E-3</v>
      </c>
      <c r="J32" s="2">
        <f t="shared" si="8"/>
        <v>0</v>
      </c>
      <c r="K32" s="2">
        <f t="shared" si="17"/>
        <v>4.0437647475259171E-3</v>
      </c>
      <c r="L32" s="2">
        <f t="shared" si="18"/>
        <v>0</v>
      </c>
      <c r="M32" s="2">
        <f t="shared" si="19"/>
        <v>8.3152749739583316E-5</v>
      </c>
      <c r="N32" s="3">
        <f t="shared" si="20"/>
        <v>4.9800000000000004E-2</v>
      </c>
      <c r="O32" s="3">
        <f t="shared" si="9"/>
        <v>0.10025388647880806</v>
      </c>
      <c r="P32" s="3">
        <f t="shared" si="10"/>
        <v>0.59399999999999997</v>
      </c>
      <c r="Q32" s="3">
        <f t="shared" si="21"/>
        <v>85.559477817648727</v>
      </c>
      <c r="R32">
        <f t="shared" si="22"/>
        <v>0.18</v>
      </c>
      <c r="S32" s="1">
        <f t="shared" si="11"/>
        <v>3.3267886301822917E-2</v>
      </c>
      <c r="T32" s="2">
        <f t="shared" si="12"/>
        <v>1.7186000176985145E-2</v>
      </c>
      <c r="U32" s="3">
        <f t="shared" si="13"/>
        <v>49.673884723189119</v>
      </c>
      <c r="V32" s="5">
        <f t="shared" si="14"/>
        <v>33.18363753295008</v>
      </c>
      <c r="W32" s="5">
        <f t="shared" si="15"/>
        <v>17.142477743860802</v>
      </c>
    </row>
    <row r="33" spans="1:23" x14ac:dyDescent="0.25">
      <c r="A33">
        <f t="shared" si="16"/>
        <v>20</v>
      </c>
      <c r="B33">
        <f t="shared" si="0"/>
        <v>0.2</v>
      </c>
      <c r="C33" s="3">
        <f t="shared" si="1"/>
        <v>0.22018193234989408</v>
      </c>
      <c r="D33" s="2">
        <f t="shared" si="2"/>
        <v>4.0662669895833335E-3</v>
      </c>
      <c r="E33" s="2">
        <f t="shared" si="3"/>
        <v>6.2563547541666679E-3</v>
      </c>
      <c r="F33" s="2">
        <f t="shared" si="4"/>
        <v>0</v>
      </c>
      <c r="G33" s="2">
        <f t="shared" si="5"/>
        <v>2.5010061808333334E-2</v>
      </c>
      <c r="H33" s="2">
        <f t="shared" si="6"/>
        <v>1.3210915940993644E-2</v>
      </c>
      <c r="I33" s="2">
        <f t="shared" si="7"/>
        <v>1.1009096617494705E-3</v>
      </c>
      <c r="J33" s="2">
        <f t="shared" si="8"/>
        <v>0</v>
      </c>
      <c r="K33" s="2">
        <f t="shared" si="17"/>
        <v>4.403638646997882E-3</v>
      </c>
      <c r="L33" s="2">
        <f t="shared" si="18"/>
        <v>0</v>
      </c>
      <c r="M33" s="2">
        <f t="shared" si="19"/>
        <v>9.0728999739583317E-5</v>
      </c>
      <c r="N33" s="3">
        <f t="shared" si="20"/>
        <v>4.9800000000000004E-2</v>
      </c>
      <c r="O33" s="3">
        <f t="shared" si="9"/>
        <v>0.10393887680156391</v>
      </c>
      <c r="P33" s="3">
        <f t="shared" si="10"/>
        <v>0.66</v>
      </c>
      <c r="Q33" s="3">
        <f t="shared" si="21"/>
        <v>86.394346464375261</v>
      </c>
      <c r="R33">
        <f t="shared" si="22"/>
        <v>0.2</v>
      </c>
      <c r="S33" s="1">
        <f t="shared" si="11"/>
        <v>3.5423412551822915E-2</v>
      </c>
      <c r="T33" s="2">
        <f t="shared" si="12"/>
        <v>1.8715464249740996E-2</v>
      </c>
      <c r="U33" s="3">
        <f t="shared" si="13"/>
        <v>47.912774827340343</v>
      </c>
      <c r="V33" s="5">
        <f t="shared" si="14"/>
        <v>34.081003799427165</v>
      </c>
      <c r="W33" s="5">
        <f t="shared" si="15"/>
        <v>18.006221373232499</v>
      </c>
    </row>
    <row r="34" spans="1:23" x14ac:dyDescent="0.25">
      <c r="A34">
        <f t="shared" si="16"/>
        <v>22</v>
      </c>
      <c r="B34">
        <f t="shared" si="0"/>
        <v>0.22</v>
      </c>
      <c r="C34" s="3">
        <f t="shared" si="1"/>
        <v>0.23849545767861771</v>
      </c>
      <c r="D34" s="2">
        <f t="shared" si="2"/>
        <v>4.7708169895833317E-3</v>
      </c>
      <c r="E34" s="2">
        <f t="shared" si="3"/>
        <v>7.3403747541666677E-3</v>
      </c>
      <c r="F34" s="2">
        <f t="shared" si="4"/>
        <v>0</v>
      </c>
      <c r="G34" s="2">
        <f t="shared" si="5"/>
        <v>2.5595541808333334E-2</v>
      </c>
      <c r="H34" s="2">
        <f t="shared" si="6"/>
        <v>1.4309727460717065E-2</v>
      </c>
      <c r="I34" s="2">
        <f t="shared" si="7"/>
        <v>1.1924772883930887E-3</v>
      </c>
      <c r="J34" s="2">
        <f t="shared" si="8"/>
        <v>0</v>
      </c>
      <c r="K34" s="2">
        <f t="shared" si="17"/>
        <v>4.7699091535723546E-3</v>
      </c>
      <c r="L34" s="2">
        <f t="shared" si="18"/>
        <v>0</v>
      </c>
      <c r="M34" s="2">
        <f t="shared" si="19"/>
        <v>9.9102749739583311E-5</v>
      </c>
      <c r="N34" s="3">
        <f t="shared" si="20"/>
        <v>4.9800000000000004E-2</v>
      </c>
      <c r="O34" s="3">
        <f t="shared" si="9"/>
        <v>0.10787795020450543</v>
      </c>
      <c r="P34" s="3">
        <f t="shared" si="10"/>
        <v>0.72599999999999998</v>
      </c>
      <c r="Q34" s="3">
        <f t="shared" si="21"/>
        <v>87.063100759763614</v>
      </c>
      <c r="R34">
        <f t="shared" si="22"/>
        <v>0.22</v>
      </c>
      <c r="S34" s="1">
        <f t="shared" si="11"/>
        <v>3.7805836301822916E-2</v>
      </c>
      <c r="T34" s="2">
        <f t="shared" si="12"/>
        <v>2.0272113902682506E-2</v>
      </c>
      <c r="U34" s="3">
        <f t="shared" si="13"/>
        <v>46.163279804254337</v>
      </c>
      <c r="V34" s="5">
        <f t="shared" si="14"/>
        <v>35.045008020780863</v>
      </c>
      <c r="W34" s="5">
        <f t="shared" si="15"/>
        <v>18.791712174964797</v>
      </c>
    </row>
    <row r="35" spans="1:23" x14ac:dyDescent="0.25">
      <c r="A35">
        <f t="shared" si="16"/>
        <v>24</v>
      </c>
      <c r="B35">
        <f t="shared" si="0"/>
        <v>0.24</v>
      </c>
      <c r="C35" s="3">
        <f t="shared" si="1"/>
        <v>0.25706046629797691</v>
      </c>
      <c r="D35" s="2">
        <f t="shared" si="2"/>
        <v>5.5424669895833313E-3</v>
      </c>
      <c r="E35" s="2">
        <f t="shared" si="3"/>
        <v>8.5276347541666641E-3</v>
      </c>
      <c r="F35" s="2">
        <f t="shared" si="4"/>
        <v>0</v>
      </c>
      <c r="G35" s="2">
        <f t="shared" si="5"/>
        <v>2.6236781808333332E-2</v>
      </c>
      <c r="H35" s="2">
        <f t="shared" si="6"/>
        <v>1.5423627977878612E-2</v>
      </c>
      <c r="I35" s="2">
        <f t="shared" si="7"/>
        <v>1.2853023314898847E-3</v>
      </c>
      <c r="J35" s="2">
        <f t="shared" si="8"/>
        <v>0</v>
      </c>
      <c r="K35" s="2">
        <f t="shared" si="17"/>
        <v>5.1412093259595388E-3</v>
      </c>
      <c r="L35" s="2">
        <f t="shared" si="18"/>
        <v>0</v>
      </c>
      <c r="M35" s="2">
        <f t="shared" si="19"/>
        <v>1.082739997395833E-4</v>
      </c>
      <c r="N35" s="3">
        <f t="shared" si="20"/>
        <v>4.9800000000000004E-2</v>
      </c>
      <c r="O35" s="3">
        <f t="shared" si="9"/>
        <v>0.11206529718715094</v>
      </c>
      <c r="P35" s="3">
        <f t="shared" si="10"/>
        <v>0.79199999999999993</v>
      </c>
      <c r="Q35" s="3">
        <f t="shared" si="21"/>
        <v>87.604291688241602</v>
      </c>
      <c r="R35">
        <f t="shared" si="22"/>
        <v>0.24</v>
      </c>
      <c r="S35" s="1">
        <f t="shared" si="11"/>
        <v>4.0415157551822907E-2</v>
      </c>
      <c r="T35" s="2">
        <f t="shared" si="12"/>
        <v>2.1850139635328034E-2</v>
      </c>
      <c r="U35" s="3">
        <f t="shared" si="13"/>
        <v>44.438377669077305</v>
      </c>
      <c r="V35" s="5">
        <f t="shared" si="14"/>
        <v>36.063936442633896</v>
      </c>
      <c r="W35" s="5">
        <f t="shared" si="15"/>
        <v>19.4976858882888</v>
      </c>
    </row>
    <row r="36" spans="1:23" x14ac:dyDescent="0.25">
      <c r="A36">
        <f t="shared" si="16"/>
        <v>26</v>
      </c>
      <c r="B36">
        <f t="shared" si="0"/>
        <v>0.26</v>
      </c>
      <c r="C36" s="3">
        <f t="shared" si="1"/>
        <v>0.27582618319030799</v>
      </c>
      <c r="D36" s="2">
        <f t="shared" si="2"/>
        <v>6.381216989583334E-3</v>
      </c>
      <c r="E36" s="2">
        <f t="shared" si="3"/>
        <v>9.8181347541666693E-3</v>
      </c>
      <c r="F36" s="2">
        <f t="shared" si="4"/>
        <v>0</v>
      </c>
      <c r="G36" s="2">
        <f t="shared" si="5"/>
        <v>2.6933781808333335E-2</v>
      </c>
      <c r="H36" s="2">
        <f t="shared" si="6"/>
        <v>1.6549570991418482E-2</v>
      </c>
      <c r="I36" s="2">
        <f t="shared" si="7"/>
        <v>1.37913091595154E-3</v>
      </c>
      <c r="J36" s="2">
        <f t="shared" si="8"/>
        <v>0</v>
      </c>
      <c r="K36" s="2">
        <f t="shared" si="17"/>
        <v>5.51652366380616E-3</v>
      </c>
      <c r="L36" s="2">
        <f t="shared" si="18"/>
        <v>0</v>
      </c>
      <c r="M36" s="2">
        <f t="shared" si="19"/>
        <v>1.1824274973958332E-4</v>
      </c>
      <c r="N36" s="3">
        <f t="shared" si="20"/>
        <v>4.9800000000000004E-2</v>
      </c>
      <c r="O36" s="3">
        <f t="shared" si="9"/>
        <v>0.11649660187299912</v>
      </c>
      <c r="P36" s="3">
        <f t="shared" si="10"/>
        <v>0.85799999999999998</v>
      </c>
      <c r="Q36" s="3">
        <f t="shared" si="21"/>
        <v>88.045458378295962</v>
      </c>
      <c r="R36">
        <f t="shared" si="22"/>
        <v>0.26</v>
      </c>
      <c r="S36" s="1">
        <f t="shared" si="11"/>
        <v>4.3251376301822922E-2</v>
      </c>
      <c r="T36" s="2">
        <f t="shared" si="12"/>
        <v>2.3445225571176183E-2</v>
      </c>
      <c r="U36" s="3">
        <f t="shared" si="13"/>
        <v>42.74802801054264</v>
      </c>
      <c r="V36" s="5">
        <f t="shared" si="14"/>
        <v>37.126727824193701</v>
      </c>
      <c r="W36" s="5">
        <f t="shared" si="15"/>
        <v>20.125244165263652</v>
      </c>
    </row>
    <row r="37" spans="1:23" x14ac:dyDescent="0.25">
      <c r="A37">
        <f t="shared" si="16"/>
        <v>28</v>
      </c>
      <c r="B37">
        <f t="shared" si="0"/>
        <v>0.28000000000000003</v>
      </c>
      <c r="C37" s="3">
        <f t="shared" si="1"/>
        <v>0.29475427619176847</v>
      </c>
      <c r="D37" s="2">
        <f t="shared" si="2"/>
        <v>7.287066989583332E-3</v>
      </c>
      <c r="E37" s="2">
        <f t="shared" si="3"/>
        <v>1.1211874754166667E-2</v>
      </c>
      <c r="F37" s="2">
        <f t="shared" si="4"/>
        <v>0</v>
      </c>
      <c r="G37" s="2">
        <f t="shared" si="5"/>
        <v>2.7686541808333333E-2</v>
      </c>
      <c r="H37" s="2">
        <f t="shared" si="6"/>
        <v>1.768525657150611E-2</v>
      </c>
      <c r="I37" s="2">
        <f t="shared" si="7"/>
        <v>1.4737713809588424E-3</v>
      </c>
      <c r="J37" s="2">
        <f t="shared" si="8"/>
        <v>0</v>
      </c>
      <c r="K37" s="2">
        <f t="shared" si="17"/>
        <v>5.8950855238353696E-3</v>
      </c>
      <c r="L37" s="2">
        <f t="shared" si="18"/>
        <v>0</v>
      </c>
      <c r="M37" s="2">
        <f t="shared" si="19"/>
        <v>1.2900899973958328E-4</v>
      </c>
      <c r="N37" s="3">
        <f t="shared" si="20"/>
        <v>4.9800000000000004E-2</v>
      </c>
      <c r="O37" s="3">
        <f t="shared" si="9"/>
        <v>0.12116860602812324</v>
      </c>
      <c r="P37" s="3">
        <f t="shared" si="10"/>
        <v>0.92400000000000004</v>
      </c>
      <c r="Q37" s="3">
        <f t="shared" si="21"/>
        <v>88.406788595708846</v>
      </c>
      <c r="R37">
        <f t="shared" si="22"/>
        <v>0.28000000000000003</v>
      </c>
      <c r="S37" s="1">
        <f t="shared" si="11"/>
        <v>4.6314492551822913E-2</v>
      </c>
      <c r="T37" s="2">
        <f t="shared" si="12"/>
        <v>2.5054113476300321E-2</v>
      </c>
      <c r="U37" s="3">
        <f t="shared" si="13"/>
        <v>41.099754822995507</v>
      </c>
      <c r="V37" s="5">
        <f t="shared" si="14"/>
        <v>38.223178486573758</v>
      </c>
      <c r="W37" s="5">
        <f t="shared" si="15"/>
        <v>20.677066690430738</v>
      </c>
    </row>
    <row r="38" spans="1:23" x14ac:dyDescent="0.25">
      <c r="A38">
        <f t="shared" si="16"/>
        <v>30</v>
      </c>
      <c r="B38">
        <f t="shared" si="0"/>
        <v>0.3</v>
      </c>
      <c r="C38" s="3">
        <f t="shared" si="1"/>
        <v>0.31381536503704421</v>
      </c>
      <c r="D38" s="2">
        <f t="shared" si="2"/>
        <v>8.2600169895833304E-3</v>
      </c>
      <c r="E38" s="2">
        <f t="shared" si="3"/>
        <v>1.2708854754166665E-2</v>
      </c>
      <c r="F38" s="2">
        <f t="shared" si="4"/>
        <v>0</v>
      </c>
      <c r="G38" s="2">
        <f t="shared" si="5"/>
        <v>2.8495061808333333E-2</v>
      </c>
      <c r="H38" s="2">
        <f t="shared" si="6"/>
        <v>1.8828921902222653E-2</v>
      </c>
      <c r="I38" s="2">
        <f t="shared" si="7"/>
        <v>1.5690768251852209E-3</v>
      </c>
      <c r="J38" s="2">
        <f t="shared" si="8"/>
        <v>0</v>
      </c>
      <c r="K38" s="2">
        <f t="shared" si="17"/>
        <v>6.2763073007408837E-3</v>
      </c>
      <c r="L38" s="2">
        <f t="shared" si="18"/>
        <v>0</v>
      </c>
      <c r="M38" s="2">
        <f t="shared" si="19"/>
        <v>1.4057274973958329E-4</v>
      </c>
      <c r="N38" s="3">
        <f t="shared" si="20"/>
        <v>4.9800000000000004E-2</v>
      </c>
      <c r="O38" s="3">
        <f t="shared" si="9"/>
        <v>0.12607881232997167</v>
      </c>
      <c r="P38" s="3">
        <f t="shared" si="10"/>
        <v>0.98999999999999988</v>
      </c>
      <c r="Q38" s="3">
        <f t="shared" si="21"/>
        <v>88.703413151732136</v>
      </c>
      <c r="R38">
        <f t="shared" si="22"/>
        <v>0.3</v>
      </c>
      <c r="S38" s="1">
        <f t="shared" si="11"/>
        <v>4.9604506301822907E-2</v>
      </c>
      <c r="T38" s="2">
        <f t="shared" si="12"/>
        <v>2.6674306028148756E-2</v>
      </c>
      <c r="U38" s="3">
        <f t="shared" si="13"/>
        <v>39.499103044898739</v>
      </c>
      <c r="V38" s="5">
        <f t="shared" si="14"/>
        <v>39.344046303354048</v>
      </c>
      <c r="W38" s="5">
        <f t="shared" si="15"/>
        <v>21.156850651747209</v>
      </c>
    </row>
    <row r="39" spans="1:23" x14ac:dyDescent="0.25">
      <c r="A39">
        <f t="shared" si="16"/>
        <v>32</v>
      </c>
      <c r="B39">
        <f t="shared" si="0"/>
        <v>0.32</v>
      </c>
      <c r="C39" s="3">
        <f t="shared" si="1"/>
        <v>0.33298661134245822</v>
      </c>
      <c r="D39" s="2">
        <f t="shared" si="2"/>
        <v>9.3000669895833329E-3</v>
      </c>
      <c r="E39" s="2">
        <f t="shared" si="3"/>
        <v>1.4309074754166668E-2</v>
      </c>
      <c r="F39" s="2">
        <f t="shared" si="4"/>
        <v>0</v>
      </c>
      <c r="G39" s="2">
        <f t="shared" si="5"/>
        <v>2.9359341808333335E-2</v>
      </c>
      <c r="H39" s="2">
        <f t="shared" si="6"/>
        <v>1.9979196680547491E-2</v>
      </c>
      <c r="I39" s="2">
        <f t="shared" si="7"/>
        <v>1.6649330567122911E-3</v>
      </c>
      <c r="J39" s="2">
        <f t="shared" si="8"/>
        <v>0</v>
      </c>
      <c r="K39" s="2">
        <f t="shared" si="17"/>
        <v>6.6597322268491643E-3</v>
      </c>
      <c r="L39" s="2">
        <f t="shared" si="18"/>
        <v>0</v>
      </c>
      <c r="M39" s="2">
        <f t="shared" si="19"/>
        <v>1.5293399973958328E-4</v>
      </c>
      <c r="N39" s="3">
        <f t="shared" si="20"/>
        <v>4.9800000000000004E-2</v>
      </c>
      <c r="O39" s="3">
        <f t="shared" si="9"/>
        <v>0.13122527951593185</v>
      </c>
      <c r="P39" s="3">
        <f t="shared" si="10"/>
        <v>1.056</v>
      </c>
      <c r="Q39" s="3">
        <f t="shared" si="21"/>
        <v>88.946893080861926</v>
      </c>
      <c r="R39">
        <f t="shared" si="22"/>
        <v>0.32</v>
      </c>
      <c r="S39" s="1">
        <f t="shared" si="11"/>
        <v>5.3121417551822918E-2</v>
      </c>
      <c r="T39" s="2">
        <f t="shared" si="12"/>
        <v>2.8303861964108945E-2</v>
      </c>
      <c r="U39" s="3">
        <f t="shared" si="13"/>
        <v>37.950004895172555</v>
      </c>
      <c r="V39" s="5">
        <f t="shared" si="14"/>
        <v>40.481085464461543</v>
      </c>
      <c r="W39" s="5">
        <f t="shared" si="15"/>
        <v>21.568909640365916</v>
      </c>
    </row>
    <row r="40" spans="1:23" x14ac:dyDescent="0.25">
      <c r="A40">
        <f t="shared" si="16"/>
        <v>34</v>
      </c>
      <c r="B40">
        <f t="shared" si="0"/>
        <v>0.34</v>
      </c>
      <c r="C40" s="3">
        <f t="shared" si="1"/>
        <v>0.35225002957179913</v>
      </c>
      <c r="D40" s="2">
        <f t="shared" si="2"/>
        <v>1.0407216989583334E-2</v>
      </c>
      <c r="E40" s="2">
        <f t="shared" si="3"/>
        <v>1.6012534754166672E-2</v>
      </c>
      <c r="F40" s="2">
        <f t="shared" si="4"/>
        <v>0</v>
      </c>
      <c r="G40" s="2">
        <f t="shared" si="5"/>
        <v>3.0279381808333335E-2</v>
      </c>
      <c r="H40" s="2">
        <f t="shared" si="6"/>
        <v>2.1135001774307948E-2</v>
      </c>
      <c r="I40" s="2">
        <f t="shared" si="7"/>
        <v>1.7612501478589957E-3</v>
      </c>
      <c r="J40" s="2">
        <f t="shared" si="8"/>
        <v>0</v>
      </c>
      <c r="K40" s="2">
        <f t="shared" si="17"/>
        <v>7.0450005914359827E-3</v>
      </c>
      <c r="L40" s="2">
        <f t="shared" si="18"/>
        <v>0</v>
      </c>
      <c r="M40" s="2">
        <f t="shared" si="19"/>
        <v>1.6609274973958336E-4</v>
      </c>
      <c r="N40" s="3">
        <f t="shared" si="20"/>
        <v>4.9800000000000004E-2</v>
      </c>
      <c r="O40" s="3">
        <f t="shared" si="9"/>
        <v>0.13660647881542584</v>
      </c>
      <c r="P40" s="3">
        <f t="shared" si="10"/>
        <v>1.1220000000000001</v>
      </c>
      <c r="Q40" s="3">
        <f t="shared" si="21"/>
        <v>89.146212011875463</v>
      </c>
      <c r="R40">
        <f t="shared" si="22"/>
        <v>0.34</v>
      </c>
      <c r="S40" s="1">
        <f t="shared" si="11"/>
        <v>5.6865226301822919E-2</v>
      </c>
      <c r="T40" s="2">
        <f t="shared" si="12"/>
        <v>2.9941252513602926E-2</v>
      </c>
      <c r="U40" s="3">
        <f t="shared" si="13"/>
        <v>36.455079167428551</v>
      </c>
      <c r="V40" s="5">
        <f t="shared" si="14"/>
        <v>41.627034672825189</v>
      </c>
      <c r="W40" s="5">
        <f t="shared" si="15"/>
        <v>21.91788615974626</v>
      </c>
    </row>
    <row r="41" spans="1:23" x14ac:dyDescent="0.25">
      <c r="A41">
        <f t="shared" si="16"/>
        <v>36</v>
      </c>
      <c r="B41">
        <f t="shared" si="0"/>
        <v>0.36</v>
      </c>
      <c r="C41" s="3">
        <f t="shared" si="1"/>
        <v>0.37159128533017743</v>
      </c>
      <c r="D41" s="2">
        <f t="shared" si="2"/>
        <v>1.1581466989583331E-2</v>
      </c>
      <c r="E41" s="2">
        <f t="shared" si="3"/>
        <v>1.781923475416667E-2</v>
      </c>
      <c r="F41" s="2">
        <f t="shared" si="4"/>
        <v>0</v>
      </c>
      <c r="G41" s="2">
        <f t="shared" si="5"/>
        <v>3.1255181808333338E-2</v>
      </c>
      <c r="H41" s="2">
        <f t="shared" si="6"/>
        <v>2.2295477119810645E-2</v>
      </c>
      <c r="I41" s="2">
        <f t="shared" si="7"/>
        <v>1.8579564266508874E-3</v>
      </c>
      <c r="J41" s="2">
        <f t="shared" si="8"/>
        <v>0</v>
      </c>
      <c r="K41" s="2">
        <f t="shared" si="17"/>
        <v>7.4318257066035495E-3</v>
      </c>
      <c r="L41" s="2">
        <f t="shared" si="18"/>
        <v>0</v>
      </c>
      <c r="M41" s="2">
        <f t="shared" si="19"/>
        <v>1.8004899973958328E-4</v>
      </c>
      <c r="N41" s="3">
        <f t="shared" si="20"/>
        <v>4.9800000000000004E-2</v>
      </c>
      <c r="O41" s="3">
        <f t="shared" si="9"/>
        <v>0.14222119180488801</v>
      </c>
      <c r="P41" s="3">
        <f t="shared" si="10"/>
        <v>1.1879999999999999</v>
      </c>
      <c r="Q41" s="3">
        <f t="shared" si="21"/>
        <v>89.308455414703062</v>
      </c>
      <c r="R41">
        <f t="shared" si="22"/>
        <v>0.36</v>
      </c>
      <c r="S41" s="1">
        <f t="shared" si="11"/>
        <v>6.0835932551822923E-2</v>
      </c>
      <c r="T41" s="2">
        <f t="shared" si="12"/>
        <v>3.158525925306508E-2</v>
      </c>
      <c r="U41" s="3">
        <f t="shared" si="13"/>
        <v>35.015878694308917</v>
      </c>
      <c r="V41" s="5">
        <f t="shared" si="14"/>
        <v>42.77557498975483</v>
      </c>
      <c r="W41" s="5">
        <f t="shared" si="15"/>
        <v>22.208546315936246</v>
      </c>
    </row>
    <row r="42" spans="1:23" x14ac:dyDescent="0.25">
      <c r="A42">
        <f t="shared" si="16"/>
        <v>38</v>
      </c>
      <c r="B42">
        <f t="shared" si="0"/>
        <v>0.38</v>
      </c>
      <c r="C42" s="3">
        <f t="shared" si="1"/>
        <v>0.39099882779022921</v>
      </c>
      <c r="D42" s="2">
        <f t="shared" si="2"/>
        <v>1.2822816989583329E-2</v>
      </c>
      <c r="E42" s="2">
        <f t="shared" si="3"/>
        <v>1.9729174754166665E-2</v>
      </c>
      <c r="F42" s="2">
        <f t="shared" si="4"/>
        <v>0</v>
      </c>
      <c r="G42" s="2">
        <f t="shared" si="5"/>
        <v>3.2286741808333332E-2</v>
      </c>
      <c r="H42" s="2">
        <f t="shared" si="6"/>
        <v>2.3459929667413754E-2</v>
      </c>
      <c r="I42" s="2">
        <f t="shared" si="7"/>
        <v>1.954994138951146E-3</v>
      </c>
      <c r="J42" s="2">
        <f t="shared" si="8"/>
        <v>0</v>
      </c>
      <c r="K42" s="2">
        <f t="shared" si="17"/>
        <v>7.819976555804584E-3</v>
      </c>
      <c r="L42" s="2">
        <f t="shared" si="18"/>
        <v>0</v>
      </c>
      <c r="M42" s="2">
        <f t="shared" si="19"/>
        <v>1.9480274973958329E-4</v>
      </c>
      <c r="N42" s="3">
        <f t="shared" si="20"/>
        <v>4.9800000000000004E-2</v>
      </c>
      <c r="O42" s="3">
        <f t="shared" si="9"/>
        <v>0.14806843666399241</v>
      </c>
      <c r="P42" s="3">
        <f t="shared" si="10"/>
        <v>1.254</v>
      </c>
      <c r="Q42" s="3">
        <f t="shared" si="21"/>
        <v>89.439286072490248</v>
      </c>
      <c r="R42">
        <f t="shared" si="22"/>
        <v>0.38</v>
      </c>
      <c r="S42" s="1">
        <f t="shared" si="11"/>
        <v>6.5033536301822917E-2</v>
      </c>
      <c r="T42" s="2">
        <f t="shared" si="12"/>
        <v>3.3234900362169487E-2</v>
      </c>
      <c r="U42" s="3">
        <f t="shared" si="13"/>
        <v>33.633096372192924</v>
      </c>
      <c r="V42" s="5">
        <f t="shared" si="14"/>
        <v>43.921268953086681</v>
      </c>
      <c r="W42" s="5">
        <f t="shared" si="15"/>
        <v>22.445634674720395</v>
      </c>
    </row>
    <row r="43" spans="1:23" x14ac:dyDescent="0.25">
      <c r="A43">
        <f t="shared" si="16"/>
        <v>40</v>
      </c>
      <c r="B43">
        <f t="shared" si="0"/>
        <v>0.4</v>
      </c>
      <c r="C43" s="3">
        <f t="shared" si="1"/>
        <v>0.41046325454702198</v>
      </c>
      <c r="D43" s="2">
        <f t="shared" si="2"/>
        <v>1.4131266989583334E-2</v>
      </c>
      <c r="E43" s="2">
        <f t="shared" si="3"/>
        <v>2.1742354754166675E-2</v>
      </c>
      <c r="F43" s="2">
        <f t="shared" si="4"/>
        <v>0</v>
      </c>
      <c r="G43" s="2">
        <f t="shared" si="5"/>
        <v>3.3374061808333334E-2</v>
      </c>
      <c r="H43" s="2">
        <f t="shared" si="6"/>
        <v>2.4627795272821325E-2</v>
      </c>
      <c r="I43" s="2">
        <f t="shared" si="7"/>
        <v>2.0523162727351099E-3</v>
      </c>
      <c r="J43" s="2">
        <f t="shared" si="8"/>
        <v>0</v>
      </c>
      <c r="K43" s="2">
        <f t="shared" si="17"/>
        <v>8.2092650909404395E-3</v>
      </c>
      <c r="L43" s="2">
        <f t="shared" si="18"/>
        <v>0</v>
      </c>
      <c r="M43" s="2">
        <f t="shared" si="19"/>
        <v>2.1035399973958331E-4</v>
      </c>
      <c r="N43" s="3">
        <f t="shared" si="20"/>
        <v>4.9800000000000004E-2</v>
      </c>
      <c r="O43" s="3">
        <f t="shared" si="9"/>
        <v>0.15414741418831981</v>
      </c>
      <c r="P43" s="3">
        <f t="shared" si="10"/>
        <v>1.32</v>
      </c>
      <c r="Q43" s="3">
        <f t="shared" si="21"/>
        <v>89.543283615689489</v>
      </c>
      <c r="R43">
        <f t="shared" si="22"/>
        <v>0.4</v>
      </c>
      <c r="S43" s="1">
        <f t="shared" si="11"/>
        <v>6.9458037551822921E-2</v>
      </c>
      <c r="T43" s="2">
        <f t="shared" si="12"/>
        <v>3.4889376636496876E-2</v>
      </c>
      <c r="U43" s="3">
        <f t="shared" si="13"/>
        <v>32.306737198432671</v>
      </c>
      <c r="V43" s="5">
        <f t="shared" si="14"/>
        <v>45.059489267180943</v>
      </c>
      <c r="W43" s="5">
        <f t="shared" si="15"/>
        <v>22.633773534386371</v>
      </c>
    </row>
    <row r="44" spans="1:23" x14ac:dyDescent="0.25">
      <c r="A44">
        <f t="shared" si="16"/>
        <v>42</v>
      </c>
      <c r="B44">
        <f t="shared" si="0"/>
        <v>0.42</v>
      </c>
      <c r="C44" s="3">
        <f t="shared" si="1"/>
        <v>0.42997684046159196</v>
      </c>
      <c r="D44" s="2">
        <f t="shared" si="2"/>
        <v>1.550681698958333E-2</v>
      </c>
      <c r="E44" s="2">
        <f t="shared" si="3"/>
        <v>2.3858774754166666E-2</v>
      </c>
      <c r="F44" s="2">
        <f t="shared" si="4"/>
        <v>0</v>
      </c>
      <c r="G44" s="2">
        <f t="shared" si="5"/>
        <v>3.4517141808333332E-2</v>
      </c>
      <c r="H44" s="2">
        <f t="shared" si="6"/>
        <v>2.5798610427695514E-2</v>
      </c>
      <c r="I44" s="2">
        <f t="shared" si="7"/>
        <v>2.1498842023079602E-3</v>
      </c>
      <c r="J44" s="2">
        <f t="shared" si="8"/>
        <v>0</v>
      </c>
      <c r="K44" s="2">
        <f t="shared" si="17"/>
        <v>8.5995368092318409E-3</v>
      </c>
      <c r="L44" s="2">
        <f t="shared" si="18"/>
        <v>0</v>
      </c>
      <c r="M44" s="2">
        <f t="shared" si="19"/>
        <v>2.2670274973958325E-4</v>
      </c>
      <c r="N44" s="3">
        <f t="shared" si="20"/>
        <v>4.9800000000000004E-2</v>
      </c>
      <c r="O44" s="3">
        <f t="shared" si="9"/>
        <v>0.16045746774105824</v>
      </c>
      <c r="P44" s="3">
        <f t="shared" si="10"/>
        <v>1.3859999999999999</v>
      </c>
      <c r="Q44" s="3">
        <f t="shared" si="21"/>
        <v>89.624191347761951</v>
      </c>
      <c r="R44">
        <f t="shared" si="22"/>
        <v>0.42</v>
      </c>
      <c r="S44" s="1">
        <f t="shared" si="11"/>
        <v>7.4109436301822915E-2</v>
      </c>
      <c r="T44" s="2">
        <f t="shared" si="12"/>
        <v>3.6548031439235316E-2</v>
      </c>
      <c r="U44" s="3">
        <f t="shared" si="13"/>
        <v>31.036261945979259</v>
      </c>
      <c r="V44" s="5">
        <f t="shared" si="14"/>
        <v>46.186342926350207</v>
      </c>
      <c r="W44" s="5">
        <f t="shared" si="15"/>
        <v>22.777395127670534</v>
      </c>
    </row>
    <row r="45" spans="1:23" x14ac:dyDescent="0.25">
      <c r="A45">
        <f t="shared" si="16"/>
        <v>44</v>
      </c>
      <c r="B45">
        <f t="shared" si="0"/>
        <v>0.44</v>
      </c>
      <c r="C45" s="3">
        <f t="shared" si="1"/>
        <v>0.44953318379551616</v>
      </c>
      <c r="D45" s="2">
        <f t="shared" si="2"/>
        <v>1.6949466989583328E-2</v>
      </c>
      <c r="E45" s="2">
        <f t="shared" si="3"/>
        <v>2.6078434754166664E-2</v>
      </c>
      <c r="F45" s="2">
        <f t="shared" si="4"/>
        <v>0</v>
      </c>
      <c r="G45" s="2">
        <f t="shared" si="5"/>
        <v>3.5715981808333332E-2</v>
      </c>
      <c r="H45" s="2">
        <f t="shared" si="6"/>
        <v>2.6971991027730974E-2</v>
      </c>
      <c r="I45" s="2">
        <f t="shared" si="7"/>
        <v>2.2476659189775805E-3</v>
      </c>
      <c r="J45" s="2">
        <f t="shared" si="8"/>
        <v>0</v>
      </c>
      <c r="K45" s="2">
        <f t="shared" si="17"/>
        <v>8.9906636759103219E-3</v>
      </c>
      <c r="L45" s="2">
        <f t="shared" si="18"/>
        <v>0</v>
      </c>
      <c r="M45" s="2">
        <f t="shared" si="19"/>
        <v>2.4384899973958329E-4</v>
      </c>
      <c r="N45" s="3">
        <f t="shared" si="20"/>
        <v>4.9800000000000004E-2</v>
      </c>
      <c r="O45" s="3">
        <f t="shared" si="9"/>
        <v>0.1669980531744418</v>
      </c>
      <c r="P45" s="3">
        <f t="shared" si="10"/>
        <v>1.452</v>
      </c>
      <c r="Q45" s="3">
        <f t="shared" si="21"/>
        <v>89.685098580137193</v>
      </c>
      <c r="R45">
        <f t="shared" si="22"/>
        <v>0.44</v>
      </c>
      <c r="S45" s="1">
        <f t="shared" si="11"/>
        <v>7.8987732551822912E-2</v>
      </c>
      <c r="T45" s="2">
        <f t="shared" si="12"/>
        <v>3.8210320622618879E-2</v>
      </c>
      <c r="U45" s="3">
        <f t="shared" si="13"/>
        <v>29.820706920445488</v>
      </c>
      <c r="V45" s="5">
        <f t="shared" si="14"/>
        <v>47.29859483410528</v>
      </c>
      <c r="W45" s="5">
        <f t="shared" si="15"/>
        <v>22.880698245449231</v>
      </c>
    </row>
    <row r="46" spans="1:23" x14ac:dyDescent="0.25">
      <c r="A46">
        <f t="shared" si="16"/>
        <v>46</v>
      </c>
      <c r="B46">
        <f t="shared" si="0"/>
        <v>0.46</v>
      </c>
      <c r="C46" s="3">
        <f t="shared" si="1"/>
        <v>0.46912693733501742</v>
      </c>
      <c r="D46" s="2">
        <f t="shared" si="2"/>
        <v>1.8459216989583339E-2</v>
      </c>
      <c r="E46" s="2">
        <f t="shared" si="3"/>
        <v>2.8401334754166677E-2</v>
      </c>
      <c r="F46" s="2">
        <f t="shared" si="4"/>
        <v>0</v>
      </c>
      <c r="G46" s="2">
        <f t="shared" si="5"/>
        <v>3.6970581808333333E-2</v>
      </c>
      <c r="H46" s="2">
        <f t="shared" si="6"/>
        <v>2.8147616240101047E-2</v>
      </c>
      <c r="I46" s="2">
        <f t="shared" si="7"/>
        <v>2.3456346866750871E-3</v>
      </c>
      <c r="J46" s="2">
        <f t="shared" si="8"/>
        <v>0</v>
      </c>
      <c r="K46" s="2">
        <f t="shared" si="17"/>
        <v>9.3825387467003484E-3</v>
      </c>
      <c r="L46" s="2">
        <f t="shared" si="18"/>
        <v>0</v>
      </c>
      <c r="M46" s="2">
        <f t="shared" si="19"/>
        <v>2.6179274973958335E-4</v>
      </c>
      <c r="N46" s="3">
        <f t="shared" si="20"/>
        <v>4.9800000000000004E-2</v>
      </c>
      <c r="O46" s="3">
        <f t="shared" si="9"/>
        <v>0.17376871597529944</v>
      </c>
      <c r="P46" s="3">
        <f t="shared" si="10"/>
        <v>1.518</v>
      </c>
      <c r="Q46" s="3">
        <f t="shared" si="21"/>
        <v>89.728577296978656</v>
      </c>
      <c r="R46">
        <f t="shared" si="22"/>
        <v>0.46</v>
      </c>
      <c r="S46" s="1">
        <f t="shared" si="11"/>
        <v>8.409292630182294E-2</v>
      </c>
      <c r="T46" s="2">
        <f t="shared" si="12"/>
        <v>3.9875789673476485E-2</v>
      </c>
      <c r="U46" s="3">
        <f t="shared" si="13"/>
        <v>28.658783441248932</v>
      </c>
      <c r="V46" s="5">
        <f t="shared" si="14"/>
        <v>48.393593651101405</v>
      </c>
      <c r="W46" s="5">
        <f t="shared" si="15"/>
        <v>22.947622907649656</v>
      </c>
    </row>
    <row r="47" spans="1:23" x14ac:dyDescent="0.25">
      <c r="A47">
        <f t="shared" si="16"/>
        <v>48</v>
      </c>
      <c r="B47">
        <f t="shared" si="0"/>
        <v>0.48</v>
      </c>
      <c r="C47" s="3">
        <f t="shared" si="1"/>
        <v>0.4887536018622608</v>
      </c>
      <c r="D47" s="2">
        <f t="shared" si="2"/>
        <v>2.0036066989583334E-2</v>
      </c>
      <c r="E47" s="2">
        <f t="shared" si="3"/>
        <v>3.0827474754166674E-2</v>
      </c>
      <c r="F47" s="2">
        <f t="shared" si="4"/>
        <v>0</v>
      </c>
      <c r="G47" s="2">
        <f t="shared" si="5"/>
        <v>3.8280941808333337E-2</v>
      </c>
      <c r="H47" s="2">
        <f t="shared" si="6"/>
        <v>2.932521611173565E-2</v>
      </c>
      <c r="I47" s="2">
        <f t="shared" si="7"/>
        <v>2.4437680093113041E-3</v>
      </c>
      <c r="J47" s="2">
        <f t="shared" si="8"/>
        <v>0</v>
      </c>
      <c r="K47" s="2">
        <f t="shared" si="17"/>
        <v>9.7750720372452166E-3</v>
      </c>
      <c r="L47" s="2">
        <f t="shared" si="18"/>
        <v>0</v>
      </c>
      <c r="M47" s="2">
        <f t="shared" si="19"/>
        <v>2.8053399973958335E-4</v>
      </c>
      <c r="N47" s="3">
        <f t="shared" si="20"/>
        <v>4.9800000000000004E-2</v>
      </c>
      <c r="O47" s="3">
        <f t="shared" si="9"/>
        <v>0.18076907371011514</v>
      </c>
      <c r="P47" s="3">
        <f t="shared" si="10"/>
        <v>1.5839999999999999</v>
      </c>
      <c r="Q47" s="3">
        <f t="shared" si="21"/>
        <v>89.756785949898813</v>
      </c>
      <c r="R47">
        <f t="shared" si="22"/>
        <v>0.48</v>
      </c>
      <c r="S47" s="1">
        <f t="shared" si="11"/>
        <v>8.942501755182293E-2</v>
      </c>
      <c r="T47" s="2">
        <f t="shared" si="12"/>
        <v>4.1544056158292167E-2</v>
      </c>
      <c r="U47" s="3">
        <f t="shared" si="13"/>
        <v>27.548960105786829</v>
      </c>
      <c r="V47" s="5">
        <f t="shared" si="14"/>
        <v>49.469201626394707</v>
      </c>
      <c r="W47" s="5">
        <f t="shared" si="15"/>
        <v>22.981838267818443</v>
      </c>
    </row>
    <row r="48" spans="1:23" x14ac:dyDescent="0.25">
      <c r="A48">
        <f t="shared" si="16"/>
        <v>50</v>
      </c>
      <c r="B48">
        <f t="shared" si="0"/>
        <v>0.5</v>
      </c>
      <c r="C48" s="3">
        <f t="shared" si="1"/>
        <v>0.50840936589851815</v>
      </c>
      <c r="D48" s="2">
        <f t="shared" si="2"/>
        <v>2.1680016989583332E-2</v>
      </c>
      <c r="E48" s="2">
        <f t="shared" si="3"/>
        <v>3.3356854754166672E-2</v>
      </c>
      <c r="F48" s="2">
        <f t="shared" si="4"/>
        <v>0</v>
      </c>
      <c r="G48" s="2">
        <f t="shared" si="5"/>
        <v>3.9647061808333335E-2</v>
      </c>
      <c r="H48" s="2">
        <f t="shared" si="6"/>
        <v>3.0504561953911095E-2</v>
      </c>
      <c r="I48" s="2">
        <f t="shared" si="7"/>
        <v>2.542046829492591E-3</v>
      </c>
      <c r="J48" s="2">
        <f t="shared" si="8"/>
        <v>0</v>
      </c>
      <c r="K48" s="2">
        <f t="shared" si="17"/>
        <v>1.0168187317970364E-2</v>
      </c>
      <c r="L48" s="2">
        <f t="shared" si="18"/>
        <v>0</v>
      </c>
      <c r="M48" s="2">
        <f t="shared" si="19"/>
        <v>3.0007274973958327E-4</v>
      </c>
      <c r="N48" s="3">
        <f t="shared" si="20"/>
        <v>4.9800000000000004E-2</v>
      </c>
      <c r="O48" s="3">
        <f t="shared" si="9"/>
        <v>0.187998802403197</v>
      </c>
      <c r="P48" s="3">
        <f t="shared" si="10"/>
        <v>1.65</v>
      </c>
      <c r="Q48" s="3">
        <f t="shared" si="21"/>
        <v>89.771549243808693</v>
      </c>
      <c r="R48">
        <f t="shared" si="22"/>
        <v>0.5</v>
      </c>
      <c r="S48" s="1">
        <f t="shared" si="11"/>
        <v>9.4984006301822937E-2</v>
      </c>
      <c r="T48" s="2">
        <f t="shared" si="12"/>
        <v>4.3214796101374048E-2</v>
      </c>
      <c r="U48" s="3">
        <f t="shared" si="13"/>
        <v>26.489530445622204</v>
      </c>
      <c r="V48" s="5">
        <f t="shared" si="14"/>
        <v>50.523729453399802</v>
      </c>
      <c r="W48" s="5">
        <f t="shared" si="15"/>
        <v>22.986740100977983</v>
      </c>
    </row>
    <row r="49" spans="1:23" x14ac:dyDescent="0.25">
      <c r="A49">
        <f t="shared" si="16"/>
        <v>52</v>
      </c>
      <c r="B49">
        <f t="shared" si="0"/>
        <v>0.52</v>
      </c>
      <c r="C49" s="3">
        <f t="shared" si="1"/>
        <v>0.52809098016661238</v>
      </c>
      <c r="D49" s="2">
        <f t="shared" si="2"/>
        <v>2.3391066989583334E-2</v>
      </c>
      <c r="E49" s="2">
        <f t="shared" si="3"/>
        <v>3.5989474754166674E-2</v>
      </c>
      <c r="F49" s="2">
        <f t="shared" si="4"/>
        <v>0</v>
      </c>
      <c r="G49" s="2">
        <f t="shared" si="5"/>
        <v>4.1068941808333335E-2</v>
      </c>
      <c r="H49" s="2">
        <f t="shared" si="6"/>
        <v>3.1685458809996743E-2</v>
      </c>
      <c r="I49" s="2">
        <f t="shared" si="7"/>
        <v>2.6404549008330622E-3</v>
      </c>
      <c r="J49" s="2">
        <f t="shared" si="8"/>
        <v>0</v>
      </c>
      <c r="K49" s="2">
        <f t="shared" si="17"/>
        <v>1.0561819603332249E-2</v>
      </c>
      <c r="L49" s="2">
        <f t="shared" si="18"/>
        <v>0</v>
      </c>
      <c r="M49" s="2">
        <f t="shared" si="19"/>
        <v>3.2040899973958333E-4</v>
      </c>
      <c r="N49" s="3">
        <f t="shared" si="20"/>
        <v>4.9800000000000004E-2</v>
      </c>
      <c r="O49" s="3">
        <f t="shared" si="9"/>
        <v>0.195457625865985</v>
      </c>
      <c r="P49" s="3">
        <f t="shared" si="10"/>
        <v>1.716</v>
      </c>
      <c r="Q49" s="3">
        <f t="shared" si="21"/>
        <v>89.774420148213693</v>
      </c>
      <c r="R49">
        <f t="shared" si="22"/>
        <v>0.52</v>
      </c>
      <c r="S49" s="1">
        <f t="shared" si="11"/>
        <v>0.10076989255182292</v>
      </c>
      <c r="T49" s="2">
        <f t="shared" si="12"/>
        <v>4.4887733314162057E-2</v>
      </c>
      <c r="U49" s="3">
        <f t="shared" si="13"/>
        <v>25.478668217399324</v>
      </c>
      <c r="V49" s="5">
        <f t="shared" si="14"/>
        <v>51.555876679334844</v>
      </c>
      <c r="W49" s="5">
        <f t="shared" si="15"/>
        <v>22.965455103265814</v>
      </c>
    </row>
    <row r="50" spans="1:23" x14ac:dyDescent="0.25">
      <c r="A50">
        <f t="shared" si="16"/>
        <v>54</v>
      </c>
      <c r="B50">
        <f t="shared" si="0"/>
        <v>0.54</v>
      </c>
      <c r="C50" s="3">
        <f t="shared" si="1"/>
        <v>0.5477956583739354</v>
      </c>
      <c r="D50" s="2">
        <f t="shared" si="2"/>
        <v>2.5169216989583333E-2</v>
      </c>
      <c r="E50" s="2">
        <f t="shared" si="3"/>
        <v>3.8725334754166674E-2</v>
      </c>
      <c r="F50" s="2">
        <f t="shared" si="4"/>
        <v>0</v>
      </c>
      <c r="G50" s="2">
        <f t="shared" si="5"/>
        <v>4.2546581808333331E-2</v>
      </c>
      <c r="H50" s="2">
        <f t="shared" si="6"/>
        <v>3.2867739502436127E-2</v>
      </c>
      <c r="I50" s="2">
        <f t="shared" si="7"/>
        <v>2.7389782918696777E-3</v>
      </c>
      <c r="J50" s="2">
        <f t="shared" si="8"/>
        <v>0</v>
      </c>
      <c r="K50" s="2">
        <f t="shared" si="17"/>
        <v>1.0955913167478711E-2</v>
      </c>
      <c r="L50" s="2">
        <f t="shared" si="18"/>
        <v>0</v>
      </c>
      <c r="M50" s="2">
        <f t="shared" si="19"/>
        <v>3.4154274973958326E-4</v>
      </c>
      <c r="N50" s="3">
        <f t="shared" si="20"/>
        <v>4.9800000000000004E-2</v>
      </c>
      <c r="O50" s="3">
        <f t="shared" si="9"/>
        <v>0.20314530726360741</v>
      </c>
      <c r="P50" s="3">
        <f t="shared" si="10"/>
        <v>1.782</v>
      </c>
      <c r="Q50" s="3">
        <f t="shared" si="21"/>
        <v>89.766728585544712</v>
      </c>
      <c r="R50">
        <f t="shared" si="22"/>
        <v>0.54</v>
      </c>
      <c r="S50" s="1">
        <f t="shared" si="11"/>
        <v>0.10678267630182292</v>
      </c>
      <c r="T50" s="2">
        <f t="shared" si="12"/>
        <v>4.6562630961784514E-2</v>
      </c>
      <c r="U50" s="3">
        <f t="shared" si="13"/>
        <v>24.514472261659499</v>
      </c>
      <c r="V50" s="5">
        <f t="shared" si="14"/>
        <v>52.564677835879579</v>
      </c>
      <c r="W50" s="5">
        <f t="shared" si="15"/>
        <v>22.92084990246093</v>
      </c>
    </row>
    <row r="51" spans="1:23" x14ac:dyDescent="0.25">
      <c r="A51">
        <f t="shared" si="16"/>
        <v>56</v>
      </c>
      <c r="B51">
        <f t="shared" si="0"/>
        <v>0.56000000000000005</v>
      </c>
      <c r="C51" s="3">
        <f t="shared" si="1"/>
        <v>0.56752099814309376</v>
      </c>
      <c r="D51" s="2">
        <f t="shared" si="2"/>
        <v>2.701446698958334E-2</v>
      </c>
      <c r="E51" s="2">
        <f t="shared" si="3"/>
        <v>4.1564434754166685E-2</v>
      </c>
      <c r="F51" s="2">
        <f t="shared" si="4"/>
        <v>0</v>
      </c>
      <c r="G51" s="2">
        <f t="shared" si="5"/>
        <v>4.4079981808333342E-2</v>
      </c>
      <c r="H51" s="2">
        <f t="shared" si="6"/>
        <v>3.4051259888585629E-2</v>
      </c>
      <c r="I51" s="2">
        <f t="shared" si="7"/>
        <v>2.8376049907154689E-3</v>
      </c>
      <c r="J51" s="2">
        <f t="shared" si="8"/>
        <v>0</v>
      </c>
      <c r="K51" s="2">
        <f t="shared" si="17"/>
        <v>1.1350419962861876E-2</v>
      </c>
      <c r="L51" s="2">
        <f t="shared" si="18"/>
        <v>0</v>
      </c>
      <c r="M51" s="2">
        <f t="shared" si="19"/>
        <v>3.6347399973958334E-4</v>
      </c>
      <c r="N51" s="3">
        <f t="shared" si="20"/>
        <v>4.9800000000000004E-2</v>
      </c>
      <c r="O51" s="3">
        <f t="shared" si="9"/>
        <v>0.21106164239398592</v>
      </c>
      <c r="P51" s="3">
        <f t="shared" si="10"/>
        <v>1.8480000000000001</v>
      </c>
      <c r="Q51" s="3">
        <f t="shared" si="21"/>
        <v>89.749620018728876</v>
      </c>
      <c r="R51">
        <f t="shared" si="22"/>
        <v>0.56000000000000005</v>
      </c>
      <c r="S51" s="1">
        <f t="shared" si="11"/>
        <v>0.11302235755182295</v>
      </c>
      <c r="T51" s="2">
        <f t="shared" si="12"/>
        <v>4.8239284842162972E-2</v>
      </c>
      <c r="U51" s="3">
        <f t="shared" si="13"/>
        <v>23.595002595042359</v>
      </c>
      <c r="V51" s="5">
        <f t="shared" si="14"/>
        <v>53.549454211507388</v>
      </c>
      <c r="W51" s="5">
        <f t="shared" si="15"/>
        <v>22.855543193450256</v>
      </c>
    </row>
    <row r="52" spans="1:23" x14ac:dyDescent="0.25">
      <c r="A52">
        <f t="shared" si="16"/>
        <v>58</v>
      </c>
      <c r="B52">
        <f t="shared" si="0"/>
        <v>0.57999999999999996</v>
      </c>
      <c r="C52" s="3">
        <f t="shared" si="1"/>
        <v>0.58726491750600374</v>
      </c>
      <c r="D52" s="2">
        <f t="shared" si="2"/>
        <v>2.892681698958333E-2</v>
      </c>
      <c r="E52" s="2">
        <f t="shared" si="3"/>
        <v>4.4506774754166679E-2</v>
      </c>
      <c r="F52" s="2">
        <f t="shared" si="4"/>
        <v>0</v>
      </c>
      <c r="G52" s="2">
        <f t="shared" si="5"/>
        <v>4.5669141808333334E-2</v>
      </c>
      <c r="H52" s="2">
        <f t="shared" si="6"/>
        <v>3.5235895050360219E-2</v>
      </c>
      <c r="I52" s="2">
        <f t="shared" si="7"/>
        <v>2.9363245875300187E-3</v>
      </c>
      <c r="J52" s="2">
        <f t="shared" si="8"/>
        <v>0</v>
      </c>
      <c r="K52" s="2">
        <f t="shared" si="17"/>
        <v>1.1745298350120075E-2</v>
      </c>
      <c r="L52" s="2">
        <f t="shared" si="18"/>
        <v>0</v>
      </c>
      <c r="M52" s="2">
        <f t="shared" si="19"/>
        <v>3.8620274973958317E-4</v>
      </c>
      <c r="N52" s="3">
        <f t="shared" si="20"/>
        <v>4.9800000000000004E-2</v>
      </c>
      <c r="O52" s="3">
        <f t="shared" si="9"/>
        <v>0.21920645428983326</v>
      </c>
      <c r="P52" s="3">
        <f t="shared" si="10"/>
        <v>1.9139999999999997</v>
      </c>
      <c r="Q52" s="3">
        <f t="shared" si="21"/>
        <v>89.724086299804057</v>
      </c>
      <c r="R52">
        <f t="shared" si="22"/>
        <v>0.57999999999999996</v>
      </c>
      <c r="S52" s="1">
        <f t="shared" si="11"/>
        <v>0.11948893630182292</v>
      </c>
      <c r="T52" s="2">
        <f t="shared" si="12"/>
        <v>4.9917517988010314E-2</v>
      </c>
      <c r="U52" s="3">
        <f t="shared" si="13"/>
        <v>22.718309167190302</v>
      </c>
      <c r="V52" s="5">
        <f t="shared" si="14"/>
        <v>54.509771023363875</v>
      </c>
      <c r="W52" s="5">
        <f t="shared" si="15"/>
        <v>22.771919809445809</v>
      </c>
    </row>
    <row r="53" spans="1:23" x14ac:dyDescent="0.25">
      <c r="A53">
        <f t="shared" si="16"/>
        <v>60</v>
      </c>
      <c r="B53">
        <f t="shared" si="0"/>
        <v>0.6</v>
      </c>
      <c r="C53" s="3">
        <f t="shared" si="1"/>
        <v>0.60702560352371737</v>
      </c>
      <c r="D53" s="2">
        <f t="shared" si="2"/>
        <v>3.090626698958333E-2</v>
      </c>
      <c r="E53" s="2">
        <f t="shared" si="3"/>
        <v>4.7552354754166679E-2</v>
      </c>
      <c r="F53" s="2">
        <f t="shared" si="4"/>
        <v>0</v>
      </c>
      <c r="G53" s="2">
        <f t="shared" si="5"/>
        <v>4.7314061808333335E-2</v>
      </c>
      <c r="H53" s="2">
        <f t="shared" si="6"/>
        <v>3.642153621142305E-2</v>
      </c>
      <c r="I53" s="2">
        <f t="shared" si="7"/>
        <v>3.0351280176185874E-3</v>
      </c>
      <c r="J53" s="2">
        <f t="shared" si="8"/>
        <v>0</v>
      </c>
      <c r="K53" s="2">
        <f t="shared" si="17"/>
        <v>1.2140512070474349E-2</v>
      </c>
      <c r="L53" s="2">
        <f t="shared" si="18"/>
        <v>0</v>
      </c>
      <c r="M53" s="2">
        <f t="shared" si="19"/>
        <v>4.0972899973958332E-4</v>
      </c>
      <c r="N53" s="3">
        <f t="shared" si="20"/>
        <v>4.9800000000000004E-2</v>
      </c>
      <c r="O53" s="3">
        <f t="shared" si="9"/>
        <v>0.22757958885133894</v>
      </c>
      <c r="P53" s="3">
        <f t="shared" si="10"/>
        <v>1.9799999999999998</v>
      </c>
      <c r="Q53" s="3">
        <f t="shared" si="21"/>
        <v>89.690990530957265</v>
      </c>
      <c r="R53">
        <f t="shared" si="22"/>
        <v>0.6</v>
      </c>
      <c r="S53" s="1">
        <f t="shared" si="11"/>
        <v>0.12618241255182294</v>
      </c>
      <c r="T53" s="2">
        <f t="shared" si="12"/>
        <v>5.1597176299515983E-2</v>
      </c>
      <c r="U53" s="3">
        <f t="shared" si="13"/>
        <v>21.882454508049353</v>
      </c>
      <c r="V53" s="5">
        <f t="shared" si="14"/>
        <v>55.445399646208458</v>
      </c>
      <c r="W53" s="5">
        <f t="shared" si="15"/>
        <v>22.672145845742183</v>
      </c>
    </row>
    <row r="54" spans="1:23" x14ac:dyDescent="0.25">
      <c r="A54">
        <f t="shared" si="16"/>
        <v>62</v>
      </c>
      <c r="B54">
        <f t="shared" si="0"/>
        <v>0.62</v>
      </c>
      <c r="C54" s="3">
        <f t="shared" si="1"/>
        <v>0.62680147043009826</v>
      </c>
      <c r="D54" s="2">
        <f t="shared" si="2"/>
        <v>3.2952816989583328E-2</v>
      </c>
      <c r="E54" s="2">
        <f t="shared" si="3"/>
        <v>5.0701174754166668E-2</v>
      </c>
      <c r="F54" s="2">
        <f t="shared" si="4"/>
        <v>0</v>
      </c>
      <c r="G54" s="2">
        <f t="shared" si="5"/>
        <v>4.9014741808333331E-2</v>
      </c>
      <c r="H54" s="2">
        <f t="shared" si="6"/>
        <v>3.7608088225805893E-2</v>
      </c>
      <c r="I54" s="2">
        <f t="shared" si="7"/>
        <v>3.1340073521504918E-3</v>
      </c>
      <c r="J54" s="2">
        <f t="shared" si="8"/>
        <v>0</v>
      </c>
      <c r="K54" s="2">
        <f t="shared" si="17"/>
        <v>1.2536029408601967E-2</v>
      </c>
      <c r="L54" s="2">
        <f t="shared" si="18"/>
        <v>0</v>
      </c>
      <c r="M54" s="2">
        <f t="shared" si="19"/>
        <v>4.3405274973958328E-4</v>
      </c>
      <c r="N54" s="3">
        <f t="shared" si="20"/>
        <v>4.9800000000000004E-2</v>
      </c>
      <c r="O54" s="3">
        <f t="shared" si="9"/>
        <v>0.23618091128838126</v>
      </c>
      <c r="P54" s="3">
        <f t="shared" si="10"/>
        <v>2.0459999999999998</v>
      </c>
      <c r="Q54" s="3">
        <f t="shared" si="21"/>
        <v>89.651087250789075</v>
      </c>
      <c r="R54">
        <f t="shared" si="22"/>
        <v>0.62</v>
      </c>
      <c r="S54" s="1">
        <f t="shared" si="11"/>
        <v>0.1331027863018229</v>
      </c>
      <c r="T54" s="2">
        <f t="shared" si="12"/>
        <v>5.3278124986558352E-2</v>
      </c>
      <c r="U54" s="3">
        <f t="shared" si="13"/>
        <v>21.085531310865882</v>
      </c>
      <c r="V54" s="5">
        <f t="shared" si="14"/>
        <v>56.356284500613995</v>
      </c>
      <c r="W54" s="5">
        <f t="shared" si="15"/>
        <v>22.558184188520119</v>
      </c>
    </row>
    <row r="55" spans="1:23" x14ac:dyDescent="0.25">
      <c r="A55">
        <f t="shared" si="16"/>
        <v>64</v>
      </c>
      <c r="B55">
        <f t="shared" ref="B55:B73" si="23">$B$17/$E$2*A55/100</f>
        <v>0.64</v>
      </c>
      <c r="C55" s="3">
        <f t="shared" si="1"/>
        <v>0.64659112531284668</v>
      </c>
      <c r="D55" s="2">
        <f t="shared" ref="D55:D73" si="24">(C55/$E$2)^2*$B$12/1000*$B$7/100*$E$2</f>
        <v>3.5066466989583336E-2</v>
      </c>
      <c r="E55" s="2">
        <f t="shared" ref="E55:E73" si="25">(C55/$E$2)^2*$B$13/1000*(1-$B$7/100)*$E$2</f>
        <v>5.3953234754166683E-2</v>
      </c>
      <c r="F55" s="2">
        <f t="shared" ref="F55:F73" si="26">(C55/$E$2)^2*($B$16/1000)*$E$2</f>
        <v>0</v>
      </c>
      <c r="G55" s="2">
        <f t="shared" ref="G55:G73" si="27">(C55/$E$2)^2*($B$14/1000)*$E$2 + $B$15/1000*$E$2</f>
        <v>5.0771181808333343E-2</v>
      </c>
      <c r="H55" s="2">
        <f t="shared" ref="H55:H73" si="28">0.5*$B$5*C55/$E$2*($G$5+$G$6)*$E$2*0.000000001*$B$8*1000</f>
        <v>3.8795467518770797E-2</v>
      </c>
      <c r="I55" s="2">
        <f t="shared" ref="I55:I73" si="29">0.5*$G$11*C55/$E$2*($G$7+$G$8)*$E$2*0.000000001*$B$8*1000</f>
        <v>3.2329556265642337E-3</v>
      </c>
      <c r="J55" s="2">
        <f t="shared" ref="J55:J73" si="30">0.5*($G$9+$G$10)*$E$2*0.000000000001*($B$5)^2*$B$8*1000</f>
        <v>0</v>
      </c>
      <c r="K55" s="2">
        <f t="shared" ref="K55:K73" si="31">$G$11*C55/$E$2*($G$12+$G$13)*$E$2*0.000000001*$B$8*1000</f>
        <v>1.2931822506256935E-2</v>
      </c>
      <c r="L55" s="2">
        <f t="shared" ref="L55:L73" si="32">($G$14+$G$15)*$E$2*0.000000001*$G$16*$B$8*1000</f>
        <v>0</v>
      </c>
      <c r="M55" s="2">
        <f t="shared" ref="M55:M73" si="33">($B$18/(2*3^0.5))^2*$G$17/1000+(C55*(($B$5-$B$6)*$B$6)^0.5/$B$5)^2*$G$18/1000</f>
        <v>4.5917399973958322E-4</v>
      </c>
      <c r="N55" s="3">
        <f t="shared" si="20"/>
        <v>4.9800000000000004E-2</v>
      </c>
      <c r="O55" s="3">
        <f t="shared" ref="O55:O86" si="34">SUM(D55:M55,N55)</f>
        <v>0.24501030320341491</v>
      </c>
      <c r="P55" s="3">
        <f t="shared" ref="P55:P73" si="35">$B$6*B55</f>
        <v>2.1120000000000001</v>
      </c>
      <c r="Q55" s="3">
        <f t="shared" si="21"/>
        <v>89.605038939778026</v>
      </c>
      <c r="R55">
        <f t="shared" si="22"/>
        <v>0.64</v>
      </c>
      <c r="S55" s="1">
        <f t="shared" ref="S55:S73" si="36">D55+E55+F55+G55+M55</f>
        <v>0.14025005755182293</v>
      </c>
      <c r="T55" s="2">
        <f t="shared" ref="T55:T73" si="37">SUM(H55:L55)</f>
        <v>5.4960245651591966E-2</v>
      </c>
      <c r="U55" s="3">
        <f t="shared" ref="U55:U73" si="38">N55/O55*100</f>
        <v>20.325675838478737</v>
      </c>
      <c r="V55" s="5">
        <f t="shared" ref="V55:V73" si="39">S55/O55*100</f>
        <v>57.242514179243777</v>
      </c>
      <c r="W55" s="5">
        <f t="shared" ref="W55:W73" si="40">T55/O55*100</f>
        <v>22.431809982277485</v>
      </c>
    </row>
    <row r="56" spans="1:23" x14ac:dyDescent="0.25">
      <c r="A56">
        <f t="shared" ref="A56:A73" si="41">A55+2*$E$2</f>
        <v>66</v>
      </c>
      <c r="B56">
        <f t="shared" si="23"/>
        <v>0.66</v>
      </c>
      <c r="C56" s="3">
        <f t="shared" si="1"/>
        <v>0.66639333980265247</v>
      </c>
      <c r="D56" s="2">
        <f t="shared" si="24"/>
        <v>3.7247216989583332E-2</v>
      </c>
      <c r="E56" s="2">
        <f t="shared" si="25"/>
        <v>5.7308534754166689E-2</v>
      </c>
      <c r="F56" s="2">
        <f t="shared" si="26"/>
        <v>0</v>
      </c>
      <c r="G56" s="2">
        <f t="shared" si="27"/>
        <v>5.2583381808333343E-2</v>
      </c>
      <c r="H56" s="2">
        <f t="shared" si="28"/>
        <v>3.9983600388159152E-2</v>
      </c>
      <c r="I56" s="2">
        <f t="shared" si="29"/>
        <v>3.3319666990132626E-3</v>
      </c>
      <c r="J56" s="2">
        <f t="shared" si="30"/>
        <v>0</v>
      </c>
      <c r="K56" s="2">
        <f t="shared" si="31"/>
        <v>1.3327866796053051E-2</v>
      </c>
      <c r="L56" s="2">
        <f t="shared" si="32"/>
        <v>0</v>
      </c>
      <c r="M56" s="2">
        <f t="shared" si="33"/>
        <v>4.8509274973958331E-4</v>
      </c>
      <c r="N56" s="3">
        <f t="shared" si="20"/>
        <v>4.9800000000000004E-2</v>
      </c>
      <c r="O56" s="3">
        <f t="shared" si="34"/>
        <v>0.25406766018504839</v>
      </c>
      <c r="P56" s="3">
        <f t="shared" si="35"/>
        <v>2.1779999999999999</v>
      </c>
      <c r="Q56" s="3">
        <f t="shared" si="21"/>
        <v>89.55342960459754</v>
      </c>
      <c r="R56">
        <f t="shared" si="22"/>
        <v>0.66</v>
      </c>
      <c r="S56" s="1">
        <f t="shared" si="36"/>
        <v>0.14762422630182295</v>
      </c>
      <c r="T56" s="2">
        <f t="shared" si="37"/>
        <v>5.6643433883225465E-2</v>
      </c>
      <c r="U56" s="3">
        <f t="shared" si="38"/>
        <v>19.601077903314625</v>
      </c>
      <c r="V56" s="5">
        <f t="shared" si="39"/>
        <v>58.104296388726482</v>
      </c>
      <c r="W56" s="5">
        <f t="shared" si="40"/>
        <v>22.294625707958904</v>
      </c>
    </row>
    <row r="57" spans="1:23" x14ac:dyDescent="0.25">
      <c r="A57">
        <f t="shared" si="41"/>
        <v>68</v>
      </c>
      <c r="B57">
        <f t="shared" si="23"/>
        <v>0.68</v>
      </c>
      <c r="C57" s="3">
        <f t="shared" si="1"/>
        <v>0.68620702658405752</v>
      </c>
      <c r="D57" s="2">
        <f t="shared" si="24"/>
        <v>3.9495066989583334E-2</v>
      </c>
      <c r="E57" s="2">
        <f t="shared" si="25"/>
        <v>6.0767074754166685E-2</v>
      </c>
      <c r="F57" s="2">
        <f t="shared" si="26"/>
        <v>0</v>
      </c>
      <c r="G57" s="2">
        <f t="shared" si="27"/>
        <v>5.4451341808333345E-2</v>
      </c>
      <c r="H57" s="2">
        <f t="shared" si="28"/>
        <v>4.1172421595043446E-2</v>
      </c>
      <c r="I57" s="2">
        <f t="shared" si="29"/>
        <v>3.4310351329202874E-3</v>
      </c>
      <c r="J57" s="2">
        <f t="shared" si="30"/>
        <v>0</v>
      </c>
      <c r="K57" s="2">
        <f t="shared" si="31"/>
        <v>1.372414053168115E-2</v>
      </c>
      <c r="L57" s="2">
        <f t="shared" si="32"/>
        <v>0</v>
      </c>
      <c r="M57" s="2">
        <f t="shared" si="33"/>
        <v>5.1180899973958332E-4</v>
      </c>
      <c r="N57" s="3">
        <f t="shared" si="20"/>
        <v>4.9800000000000004E-2</v>
      </c>
      <c r="O57" s="3">
        <f t="shared" si="34"/>
        <v>0.26335288981146782</v>
      </c>
      <c r="P57" s="3">
        <f t="shared" si="35"/>
        <v>2.2440000000000002</v>
      </c>
      <c r="Q57" s="3">
        <f t="shared" si="21"/>
        <v>89.496776026956866</v>
      </c>
      <c r="R57">
        <f t="shared" si="22"/>
        <v>0.68</v>
      </c>
      <c r="S57" s="1">
        <f t="shared" si="36"/>
        <v>0.15522529255182294</v>
      </c>
      <c r="T57" s="2">
        <f t="shared" si="37"/>
        <v>5.8327597259644884E-2</v>
      </c>
      <c r="U57" s="3">
        <f t="shared" si="38"/>
        <v>18.909988052780214</v>
      </c>
      <c r="V57" s="5">
        <f t="shared" si="39"/>
        <v>58.941936298078012</v>
      </c>
      <c r="W57" s="5">
        <f t="shared" si="40"/>
        <v>22.148075649141781</v>
      </c>
    </row>
    <row r="58" spans="1:23" x14ac:dyDescent="0.25">
      <c r="A58">
        <f t="shared" si="41"/>
        <v>70</v>
      </c>
      <c r="B58">
        <f t="shared" si="23"/>
        <v>0.7</v>
      </c>
      <c r="C58" s="3">
        <f t="shared" si="1"/>
        <v>0.70603121980074879</v>
      </c>
      <c r="D58" s="2">
        <f t="shared" si="24"/>
        <v>4.1810016989583323E-2</v>
      </c>
      <c r="E58" s="2">
        <f t="shared" si="25"/>
        <v>6.4328854754166664E-2</v>
      </c>
      <c r="F58" s="2">
        <f t="shared" si="26"/>
        <v>0</v>
      </c>
      <c r="G58" s="2">
        <f t="shared" si="27"/>
        <v>5.6375061808333335E-2</v>
      </c>
      <c r="H58" s="2">
        <f t="shared" si="28"/>
        <v>4.2361873188044935E-2</v>
      </c>
      <c r="I58" s="2">
        <f t="shared" si="29"/>
        <v>3.5301560990037436E-3</v>
      </c>
      <c r="J58" s="2">
        <f t="shared" si="30"/>
        <v>0</v>
      </c>
      <c r="K58" s="2">
        <f t="shared" si="31"/>
        <v>1.4120624396014974E-2</v>
      </c>
      <c r="L58" s="2">
        <f t="shared" si="32"/>
        <v>0</v>
      </c>
      <c r="M58" s="2">
        <f t="shared" si="33"/>
        <v>5.393227497395832E-4</v>
      </c>
      <c r="N58" s="3">
        <f t="shared" si="20"/>
        <v>4.9800000000000004E-2</v>
      </c>
      <c r="O58" s="3">
        <f t="shared" si="34"/>
        <v>0.27286590998488658</v>
      </c>
      <c r="P58" s="3">
        <f t="shared" si="35"/>
        <v>2.3099999999999996</v>
      </c>
      <c r="Q58" s="3">
        <f t="shared" si="21"/>
        <v>89.435537132220574</v>
      </c>
      <c r="R58">
        <f t="shared" si="22"/>
        <v>0.7</v>
      </c>
      <c r="S58" s="1">
        <f t="shared" si="36"/>
        <v>0.16305325630182291</v>
      </c>
      <c r="T58" s="2">
        <f t="shared" si="37"/>
        <v>6.0012653683063653E-2</v>
      </c>
      <c r="U58" s="3">
        <f t="shared" si="38"/>
        <v>18.25072248957677</v>
      </c>
      <c r="V58" s="5">
        <f t="shared" si="39"/>
        <v>59.755817907357525</v>
      </c>
      <c r="W58" s="5">
        <f t="shared" si="40"/>
        <v>21.993459603065702</v>
      </c>
    </row>
    <row r="59" spans="1:23" x14ac:dyDescent="0.25">
      <c r="A59">
        <f t="shared" si="41"/>
        <v>72</v>
      </c>
      <c r="B59">
        <f t="shared" si="23"/>
        <v>0.72</v>
      </c>
      <c r="C59" s="3">
        <f t="shared" si="1"/>
        <v>0.72586505862545359</v>
      </c>
      <c r="D59" s="2">
        <f t="shared" si="24"/>
        <v>4.4192066989583313E-2</v>
      </c>
      <c r="E59" s="2">
        <f t="shared" si="25"/>
        <v>6.7993874754166642E-2</v>
      </c>
      <c r="F59" s="2">
        <f t="shared" si="26"/>
        <v>0</v>
      </c>
      <c r="G59" s="2">
        <f t="shared" si="27"/>
        <v>5.8354541808333313E-2</v>
      </c>
      <c r="H59" s="2">
        <f t="shared" si="28"/>
        <v>4.3551903517527218E-2</v>
      </c>
      <c r="I59" s="2">
        <f t="shared" si="29"/>
        <v>3.6293252931272682E-3</v>
      </c>
      <c r="J59" s="2">
        <f t="shared" si="30"/>
        <v>0</v>
      </c>
      <c r="K59" s="2">
        <f t="shared" si="31"/>
        <v>1.4517301172509073E-2</v>
      </c>
      <c r="L59" s="2">
        <f t="shared" si="32"/>
        <v>0</v>
      </c>
      <c r="M59" s="2">
        <f t="shared" si="33"/>
        <v>5.6763399973958312E-4</v>
      </c>
      <c r="N59" s="3">
        <f t="shared" si="20"/>
        <v>4.9800000000000004E-2</v>
      </c>
      <c r="O59" s="3">
        <f t="shared" si="34"/>
        <v>0.28260664753498643</v>
      </c>
      <c r="P59" s="3">
        <f t="shared" si="35"/>
        <v>2.3759999999999999</v>
      </c>
      <c r="Q59" s="3">
        <f t="shared" si="21"/>
        <v>89.370121834419763</v>
      </c>
      <c r="R59">
        <f t="shared" si="22"/>
        <v>0.72</v>
      </c>
      <c r="S59" s="1">
        <f t="shared" si="36"/>
        <v>0.17110811755182287</v>
      </c>
      <c r="T59" s="2">
        <f t="shared" si="37"/>
        <v>6.1698529983163559E-2</v>
      </c>
      <c r="U59" s="3">
        <f t="shared" si="38"/>
        <v>17.621666168993709</v>
      </c>
      <c r="V59" s="5">
        <f t="shared" si="39"/>
        <v>60.546388078376623</v>
      </c>
      <c r="W59" s="5">
        <f t="shared" si="40"/>
        <v>21.831945752629668</v>
      </c>
    </row>
    <row r="60" spans="1:23" x14ac:dyDescent="0.25">
      <c r="A60">
        <f t="shared" si="41"/>
        <v>74</v>
      </c>
      <c r="B60">
        <f t="shared" si="23"/>
        <v>0.74</v>
      </c>
      <c r="C60" s="3">
        <f t="shared" si="1"/>
        <v>0.74570777341619099</v>
      </c>
      <c r="D60" s="2">
        <f t="shared" si="24"/>
        <v>4.6641216989583317E-2</v>
      </c>
      <c r="E60" s="2">
        <f t="shared" si="25"/>
        <v>7.1762134754166665E-2</v>
      </c>
      <c r="F60" s="2">
        <f t="shared" si="26"/>
        <v>0</v>
      </c>
      <c r="G60" s="2">
        <f t="shared" si="27"/>
        <v>6.0389781808333334E-2</v>
      </c>
      <c r="H60" s="2">
        <f t="shared" si="28"/>
        <v>4.4742466404971461E-2</v>
      </c>
      <c r="I60" s="2">
        <f t="shared" si="29"/>
        <v>3.7285388670809556E-3</v>
      </c>
      <c r="J60" s="2">
        <f t="shared" si="30"/>
        <v>0</v>
      </c>
      <c r="K60" s="2">
        <f t="shared" si="31"/>
        <v>1.4914155468323823E-2</v>
      </c>
      <c r="L60" s="2">
        <f t="shared" si="32"/>
        <v>0</v>
      </c>
      <c r="M60" s="2">
        <f t="shared" si="33"/>
        <v>5.9674274973958307E-4</v>
      </c>
      <c r="N60" s="3">
        <f t="shared" si="20"/>
        <v>4.9800000000000004E-2</v>
      </c>
      <c r="O60" s="3">
        <f t="shared" si="34"/>
        <v>0.29257503704219917</v>
      </c>
      <c r="P60" s="3">
        <f t="shared" si="35"/>
        <v>2.4419999999999997</v>
      </c>
      <c r="Q60" s="3">
        <f t="shared" si="21"/>
        <v>89.30089563902925</v>
      </c>
      <c r="R60">
        <f t="shared" si="22"/>
        <v>0.74</v>
      </c>
      <c r="S60" s="1">
        <f t="shared" si="36"/>
        <v>0.1793898763018229</v>
      </c>
      <c r="T60" s="2">
        <f t="shared" si="37"/>
        <v>6.3385160740376242E-2</v>
      </c>
      <c r="U60" s="3">
        <f t="shared" si="38"/>
        <v>17.021274440723104</v>
      </c>
      <c r="V60" s="5">
        <f t="shared" si="39"/>
        <v>61.314142900014005</v>
      </c>
      <c r="W60" s="5">
        <f t="shared" si="40"/>
        <v>21.664582659262884</v>
      </c>
    </row>
    <row r="61" spans="1:23" x14ac:dyDescent="0.25">
      <c r="A61">
        <f t="shared" si="41"/>
        <v>76</v>
      </c>
      <c r="B61">
        <f t="shared" si="23"/>
        <v>0.76</v>
      </c>
      <c r="C61" s="3">
        <f t="shared" si="1"/>
        <v>0.7655586739978415</v>
      </c>
      <c r="D61" s="2">
        <f t="shared" si="24"/>
        <v>4.9157466989583336E-2</v>
      </c>
      <c r="E61" s="2">
        <f t="shared" si="25"/>
        <v>7.5633634754166693E-2</v>
      </c>
      <c r="F61" s="2">
        <f t="shared" si="26"/>
        <v>0</v>
      </c>
      <c r="G61" s="2">
        <f t="shared" si="27"/>
        <v>6.2480781808333344E-2</v>
      </c>
      <c r="H61" s="2">
        <f t="shared" si="28"/>
        <v>4.5933520439870493E-2</v>
      </c>
      <c r="I61" s="2">
        <f t="shared" si="29"/>
        <v>3.8277933699892076E-3</v>
      </c>
      <c r="J61" s="2">
        <f t="shared" si="30"/>
        <v>0</v>
      </c>
      <c r="K61" s="2">
        <f t="shared" si="31"/>
        <v>1.531117347995683E-2</v>
      </c>
      <c r="L61" s="2">
        <f t="shared" si="32"/>
        <v>0</v>
      </c>
      <c r="M61" s="2">
        <f t="shared" si="33"/>
        <v>6.2664899973958305E-4</v>
      </c>
      <c r="N61" s="3">
        <f t="shared" si="20"/>
        <v>4.9800000000000004E-2</v>
      </c>
      <c r="O61" s="3">
        <f t="shared" si="34"/>
        <v>0.30277101984163945</v>
      </c>
      <c r="P61" s="3">
        <f t="shared" si="35"/>
        <v>2.508</v>
      </c>
      <c r="Q61" s="3">
        <f t="shared" si="21"/>
        <v>89.228186227041078</v>
      </c>
      <c r="R61">
        <f t="shared" si="22"/>
        <v>0.76</v>
      </c>
      <c r="S61" s="1">
        <f t="shared" si="36"/>
        <v>0.18789853255182293</v>
      </c>
      <c r="T61" s="2">
        <f t="shared" si="37"/>
        <v>6.507248728981653E-2</v>
      </c>
      <c r="U61" s="3">
        <f t="shared" si="38"/>
        <v>16.448073539550538</v>
      </c>
      <c r="V61" s="5">
        <f t="shared" si="39"/>
        <v>62.059616092088632</v>
      </c>
      <c r="W61" s="5">
        <f t="shared" si="40"/>
        <v>21.49231036836084</v>
      </c>
    </row>
    <row r="62" spans="1:23" x14ac:dyDescent="0.25">
      <c r="A62">
        <f t="shared" si="41"/>
        <v>78</v>
      </c>
      <c r="B62">
        <f t="shared" si="23"/>
        <v>0.78</v>
      </c>
      <c r="C62" s="3">
        <f t="shared" si="1"/>
        <v>0.78541713969923865</v>
      </c>
      <c r="D62" s="2">
        <f t="shared" si="24"/>
        <v>5.1740816989583334E-2</v>
      </c>
      <c r="E62" s="2">
        <f t="shared" si="25"/>
        <v>7.9608374754166683E-2</v>
      </c>
      <c r="F62" s="2">
        <f t="shared" si="26"/>
        <v>0</v>
      </c>
      <c r="G62" s="2">
        <f t="shared" si="27"/>
        <v>6.4627541808333328E-2</v>
      </c>
      <c r="H62" s="2">
        <f t="shared" si="28"/>
        <v>4.7125028381954329E-2</v>
      </c>
      <c r="I62" s="2">
        <f t="shared" si="29"/>
        <v>3.9270856984961935E-3</v>
      </c>
      <c r="J62" s="2">
        <f t="shared" si="30"/>
        <v>0</v>
      </c>
      <c r="K62" s="2">
        <f t="shared" si="31"/>
        <v>1.5708342793984774E-2</v>
      </c>
      <c r="L62" s="2">
        <f t="shared" si="32"/>
        <v>0</v>
      </c>
      <c r="M62" s="2">
        <f t="shared" si="33"/>
        <v>6.5735274973958329E-4</v>
      </c>
      <c r="N62" s="3">
        <f t="shared" si="20"/>
        <v>4.9800000000000004E-2</v>
      </c>
      <c r="O62" s="3">
        <f t="shared" si="34"/>
        <v>0.31319454317625822</v>
      </c>
      <c r="P62" s="3">
        <f t="shared" si="35"/>
        <v>2.5739999999999998</v>
      </c>
      <c r="Q62" s="3">
        <f t="shared" si="21"/>
        <v>89.152288199058901</v>
      </c>
      <c r="R62">
        <f t="shared" si="22"/>
        <v>0.78</v>
      </c>
      <c r="S62" s="1">
        <f t="shared" si="36"/>
        <v>0.19663408630182291</v>
      </c>
      <c r="T62" s="2">
        <f t="shared" si="37"/>
        <v>6.6760456874435298E-2</v>
      </c>
      <c r="U62" s="3">
        <f t="shared" si="38"/>
        <v>15.900660175925793</v>
      </c>
      <c r="V62" s="5">
        <f t="shared" si="39"/>
        <v>62.783369182509055</v>
      </c>
      <c r="W62" s="5">
        <f t="shared" si="40"/>
        <v>21.315970641565151</v>
      </c>
    </row>
    <row r="63" spans="1:23" x14ac:dyDescent="0.25">
      <c r="A63">
        <f t="shared" si="41"/>
        <v>80</v>
      </c>
      <c r="B63">
        <f t="shared" si="23"/>
        <v>0.8</v>
      </c>
      <c r="C63" s="3">
        <f t="shared" si="1"/>
        <v>0.80528261084747965</v>
      </c>
      <c r="D63" s="2">
        <f t="shared" si="24"/>
        <v>5.4391266989583326E-2</v>
      </c>
      <c r="E63" s="2">
        <f t="shared" si="25"/>
        <v>8.3686354754166692E-2</v>
      </c>
      <c r="F63" s="2">
        <f t="shared" si="26"/>
        <v>0</v>
      </c>
      <c r="G63" s="2">
        <f t="shared" si="27"/>
        <v>6.6830061808333341E-2</v>
      </c>
      <c r="H63" s="2">
        <f t="shared" si="28"/>
        <v>4.8316956650848786E-2</v>
      </c>
      <c r="I63" s="2">
        <f t="shared" si="29"/>
        <v>4.0264130542373979E-3</v>
      </c>
      <c r="J63" s="2">
        <f t="shared" si="30"/>
        <v>0</v>
      </c>
      <c r="K63" s="2">
        <f t="shared" si="31"/>
        <v>1.6105652216949592E-2</v>
      </c>
      <c r="L63" s="2">
        <f t="shared" si="32"/>
        <v>0</v>
      </c>
      <c r="M63" s="2">
        <f t="shared" si="33"/>
        <v>6.8885399973958334E-4</v>
      </c>
      <c r="N63" s="3">
        <f t="shared" si="20"/>
        <v>4.9800000000000004E-2</v>
      </c>
      <c r="O63" s="3">
        <f t="shared" si="34"/>
        <v>0.32384555947385868</v>
      </c>
      <c r="P63" s="3">
        <f t="shared" si="35"/>
        <v>2.64</v>
      </c>
      <c r="Q63" s="3">
        <f t="shared" si="21"/>
        <v>89.073467123187498</v>
      </c>
      <c r="R63">
        <f t="shared" si="22"/>
        <v>0.8</v>
      </c>
      <c r="S63" s="1">
        <f t="shared" si="36"/>
        <v>0.20559653755182294</v>
      </c>
      <c r="T63" s="2">
        <f t="shared" si="37"/>
        <v>6.844902192203578E-2</v>
      </c>
      <c r="U63" s="3">
        <f t="shared" si="38"/>
        <v>15.377700432548291</v>
      </c>
      <c r="V63" s="5">
        <f t="shared" si="39"/>
        <v>63.485983221708807</v>
      </c>
      <c r="W63" s="5">
        <f t="shared" si="40"/>
        <v>21.136316345742916</v>
      </c>
    </row>
    <row r="64" spans="1:23" x14ac:dyDescent="0.25">
      <c r="A64">
        <f t="shared" si="41"/>
        <v>82</v>
      </c>
      <c r="B64">
        <f t="shared" si="23"/>
        <v>0.82</v>
      </c>
      <c r="C64" s="3">
        <f t="shared" si="1"/>
        <v>0.82515458147751508</v>
      </c>
      <c r="D64" s="2">
        <f t="shared" si="24"/>
        <v>5.7108816989583297E-2</v>
      </c>
      <c r="E64" s="2">
        <f t="shared" si="25"/>
        <v>8.7867574754166636E-2</v>
      </c>
      <c r="F64" s="2">
        <f t="shared" si="26"/>
        <v>0</v>
      </c>
      <c r="G64" s="2">
        <f t="shared" si="27"/>
        <v>6.9088341808333315E-2</v>
      </c>
      <c r="H64" s="2">
        <f t="shared" si="28"/>
        <v>4.9509274888650909E-2</v>
      </c>
      <c r="I64" s="2">
        <f t="shared" si="29"/>
        <v>4.1257729073875754E-3</v>
      </c>
      <c r="J64" s="2">
        <f t="shared" si="30"/>
        <v>0</v>
      </c>
      <c r="K64" s="2">
        <f t="shared" si="31"/>
        <v>1.6503091629550302E-2</v>
      </c>
      <c r="L64" s="2">
        <f t="shared" si="32"/>
        <v>0</v>
      </c>
      <c r="M64" s="2">
        <f t="shared" si="33"/>
        <v>7.2115274973958278E-4</v>
      </c>
      <c r="N64" s="3">
        <f t="shared" si="20"/>
        <v>4.9800000000000004E-2</v>
      </c>
      <c r="O64" s="3">
        <f t="shared" si="34"/>
        <v>0.33472402572741167</v>
      </c>
      <c r="P64" s="3">
        <f t="shared" si="35"/>
        <v>2.7059999999999995</v>
      </c>
      <c r="Q64" s="3">
        <f t="shared" si="21"/>
        <v>88.991963003043722</v>
      </c>
      <c r="R64">
        <f t="shared" si="22"/>
        <v>0.82</v>
      </c>
      <c r="S64" s="1">
        <f t="shared" si="36"/>
        <v>0.21478588630182283</v>
      </c>
      <c r="T64" s="2">
        <f t="shared" si="37"/>
        <v>7.0138139425588789E-2</v>
      </c>
      <c r="U64" s="3">
        <f t="shared" si="38"/>
        <v>14.87792813550692</v>
      </c>
      <c r="V64" s="5">
        <f t="shared" si="39"/>
        <v>64.168051825696381</v>
      </c>
      <c r="W64" s="5">
        <f t="shared" si="40"/>
        <v>20.954020038796678</v>
      </c>
    </row>
    <row r="65" spans="1:23" x14ac:dyDescent="0.25">
      <c r="A65">
        <f t="shared" si="41"/>
        <v>84</v>
      </c>
      <c r="B65">
        <f t="shared" si="23"/>
        <v>0.84</v>
      </c>
      <c r="C65" s="3">
        <f t="shared" si="1"/>
        <v>0.84503259305977851</v>
      </c>
      <c r="D65" s="2">
        <f t="shared" si="24"/>
        <v>5.9893466989583324E-2</v>
      </c>
      <c r="E65" s="2">
        <f t="shared" si="25"/>
        <v>9.2152034754166667E-2</v>
      </c>
      <c r="F65" s="2">
        <f t="shared" si="26"/>
        <v>0</v>
      </c>
      <c r="G65" s="2">
        <f t="shared" si="27"/>
        <v>7.1402381808333332E-2</v>
      </c>
      <c r="H65" s="2">
        <f t="shared" si="28"/>
        <v>5.0701955583586707E-2</v>
      </c>
      <c r="I65" s="2">
        <f t="shared" si="29"/>
        <v>4.2251629652988922E-3</v>
      </c>
      <c r="J65" s="2">
        <f t="shared" si="30"/>
        <v>0</v>
      </c>
      <c r="K65" s="2">
        <f t="shared" si="31"/>
        <v>1.6900651861195569E-2</v>
      </c>
      <c r="L65" s="2">
        <f t="shared" si="32"/>
        <v>0</v>
      </c>
      <c r="M65" s="2">
        <f t="shared" si="33"/>
        <v>7.542489997395829E-4</v>
      </c>
      <c r="N65" s="3">
        <f t="shared" si="20"/>
        <v>4.9800000000000004E-2</v>
      </c>
      <c r="O65" s="3">
        <f t="shared" si="34"/>
        <v>0.34582990296190408</v>
      </c>
      <c r="P65" s="3">
        <f t="shared" si="35"/>
        <v>2.7719999999999998</v>
      </c>
      <c r="Q65" s="3">
        <f t="shared" si="21"/>
        <v>88.907993260524904</v>
      </c>
      <c r="R65">
        <f t="shared" si="22"/>
        <v>0.84</v>
      </c>
      <c r="S65" s="1">
        <f t="shared" si="36"/>
        <v>0.22420213255182289</v>
      </c>
      <c r="T65" s="2">
        <f t="shared" si="37"/>
        <v>7.1827770410081176E-2</v>
      </c>
      <c r="U65" s="3">
        <f t="shared" si="38"/>
        <v>14.400142837123564</v>
      </c>
      <c r="V65" s="5">
        <f t="shared" si="39"/>
        <v>64.830175364135741</v>
      </c>
      <c r="W65" s="5">
        <f t="shared" si="40"/>
        <v>20.769681798740688</v>
      </c>
    </row>
    <row r="66" spans="1:23" x14ac:dyDescent="0.25">
      <c r="A66">
        <f t="shared" si="41"/>
        <v>86</v>
      </c>
      <c r="B66">
        <f t="shared" si="23"/>
        <v>0.86</v>
      </c>
      <c r="C66" s="3">
        <f t="shared" si="1"/>
        <v>0.86491622908425836</v>
      </c>
      <c r="D66" s="2">
        <f t="shared" si="24"/>
        <v>6.2745216989583324E-2</v>
      </c>
      <c r="E66" s="2">
        <f t="shared" si="25"/>
        <v>9.6539734754166676E-2</v>
      </c>
      <c r="F66" s="2">
        <f t="shared" si="26"/>
        <v>0</v>
      </c>
      <c r="G66" s="2">
        <f t="shared" si="27"/>
        <v>7.3772181808333337E-2</v>
      </c>
      <c r="H66" s="2">
        <f t="shared" si="28"/>
        <v>5.18949737450555E-2</v>
      </c>
      <c r="I66" s="2">
        <f t="shared" si="29"/>
        <v>4.3245811454212931E-3</v>
      </c>
      <c r="J66" s="2">
        <f t="shared" si="30"/>
        <v>0</v>
      </c>
      <c r="K66" s="2">
        <f t="shared" si="31"/>
        <v>1.7298324581685173E-2</v>
      </c>
      <c r="L66" s="2">
        <f t="shared" si="32"/>
        <v>0</v>
      </c>
      <c r="M66" s="2">
        <f t="shared" si="33"/>
        <v>7.8814274973958284E-4</v>
      </c>
      <c r="N66" s="3">
        <f t="shared" si="20"/>
        <v>4.9800000000000004E-2</v>
      </c>
      <c r="O66" s="3">
        <f t="shared" si="34"/>
        <v>0.35716315577398489</v>
      </c>
      <c r="P66" s="3">
        <f t="shared" si="35"/>
        <v>2.8379999999999996</v>
      </c>
      <c r="Q66" s="3">
        <f t="shared" si="21"/>
        <v>88.821755310724754</v>
      </c>
      <c r="R66">
        <f t="shared" si="22"/>
        <v>0.86</v>
      </c>
      <c r="S66" s="1">
        <f t="shared" si="36"/>
        <v>0.23384527630182295</v>
      </c>
      <c r="T66" s="2">
        <f t="shared" si="37"/>
        <v>7.351787947216197E-2</v>
      </c>
      <c r="U66" s="3">
        <f t="shared" si="38"/>
        <v>13.943207521526594</v>
      </c>
      <c r="V66" s="5">
        <f t="shared" si="39"/>
        <v>65.472956132631367</v>
      </c>
      <c r="W66" s="5">
        <f t="shared" si="40"/>
        <v>20.583836345842052</v>
      </c>
    </row>
    <row r="67" spans="1:23" x14ac:dyDescent="0.25">
      <c r="A67">
        <f t="shared" si="41"/>
        <v>88</v>
      </c>
      <c r="B67">
        <f t="shared" si="23"/>
        <v>0.88</v>
      </c>
      <c r="C67" s="3">
        <f t="shared" si="1"/>
        <v>0.88480511036800258</v>
      </c>
      <c r="D67" s="2">
        <f t="shared" si="24"/>
        <v>6.5664066989583325E-2</v>
      </c>
      <c r="E67" s="2">
        <f t="shared" si="25"/>
        <v>0.10103067475416669</v>
      </c>
      <c r="F67" s="2">
        <f t="shared" si="26"/>
        <v>0</v>
      </c>
      <c r="G67" s="2">
        <f t="shared" si="27"/>
        <v>7.619774180833333E-2</v>
      </c>
      <c r="H67" s="2">
        <f t="shared" si="28"/>
        <v>5.308830662208016E-2</v>
      </c>
      <c r="I67" s="2">
        <f t="shared" si="29"/>
        <v>4.4240255518400128E-3</v>
      </c>
      <c r="J67" s="2">
        <f t="shared" si="30"/>
        <v>0</v>
      </c>
      <c r="K67" s="2">
        <f t="shared" si="31"/>
        <v>1.7696102207360051E-2</v>
      </c>
      <c r="L67" s="2">
        <f t="shared" si="32"/>
        <v>0</v>
      </c>
      <c r="M67" s="2">
        <f t="shared" si="33"/>
        <v>8.2283399973958281E-4</v>
      </c>
      <c r="N67" s="3">
        <f t="shared" si="20"/>
        <v>4.9800000000000004E-2</v>
      </c>
      <c r="O67" s="3">
        <f t="shared" si="34"/>
        <v>0.36872375193310319</v>
      </c>
      <c r="P67" s="3">
        <f t="shared" si="35"/>
        <v>2.9039999999999999</v>
      </c>
      <c r="Q67" s="3">
        <f t="shared" si="21"/>
        <v>88.733428792597948</v>
      </c>
      <c r="R67">
        <f t="shared" si="22"/>
        <v>0.88</v>
      </c>
      <c r="S67" s="1">
        <f t="shared" si="36"/>
        <v>0.24371531755182294</v>
      </c>
      <c r="T67" s="2">
        <f t="shared" si="37"/>
        <v>7.520843438128022E-2</v>
      </c>
      <c r="U67" s="3">
        <f t="shared" si="38"/>
        <v>13.506046122310861</v>
      </c>
      <c r="V67" s="5">
        <f t="shared" si="39"/>
        <v>66.096994368846552</v>
      </c>
      <c r="W67" s="5">
        <f t="shared" si="40"/>
        <v>20.396959508842581</v>
      </c>
    </row>
    <row r="68" spans="1:23" x14ac:dyDescent="0.25">
      <c r="A68">
        <f t="shared" si="41"/>
        <v>90</v>
      </c>
      <c r="B68">
        <f t="shared" si="23"/>
        <v>0.9</v>
      </c>
      <c r="C68" s="3">
        <f t="shared" si="1"/>
        <v>0.90469889097607126</v>
      </c>
      <c r="D68" s="2">
        <f t="shared" si="24"/>
        <v>6.8650016989583312E-2</v>
      </c>
      <c r="E68" s="2">
        <f t="shared" si="25"/>
        <v>0.10562485475416666</v>
      </c>
      <c r="F68" s="2">
        <f t="shared" si="26"/>
        <v>0</v>
      </c>
      <c r="G68" s="2">
        <f t="shared" si="27"/>
        <v>7.8679061808333325E-2</v>
      </c>
      <c r="H68" s="2">
        <f t="shared" si="28"/>
        <v>5.4281933458564281E-2</v>
      </c>
      <c r="I68" s="2">
        <f t="shared" si="29"/>
        <v>4.5234944548803568E-3</v>
      </c>
      <c r="J68" s="2">
        <f t="shared" si="30"/>
        <v>0</v>
      </c>
      <c r="K68" s="2">
        <f t="shared" si="31"/>
        <v>1.8093977819521427E-2</v>
      </c>
      <c r="L68" s="2">
        <f t="shared" si="32"/>
        <v>0</v>
      </c>
      <c r="M68" s="2">
        <f t="shared" si="33"/>
        <v>8.5832274973958304E-4</v>
      </c>
      <c r="N68" s="3">
        <f t="shared" si="20"/>
        <v>4.9800000000000004E-2</v>
      </c>
      <c r="O68" s="3">
        <f t="shared" si="34"/>
        <v>0.38051166203478898</v>
      </c>
      <c r="P68" s="3">
        <f t="shared" si="35"/>
        <v>2.9699999999999998</v>
      </c>
      <c r="Q68" s="3">
        <f t="shared" si="21"/>
        <v>88.64317750788841</v>
      </c>
      <c r="R68">
        <f t="shared" si="22"/>
        <v>0.9</v>
      </c>
      <c r="S68" s="1">
        <f t="shared" si="36"/>
        <v>0.25381225630182286</v>
      </c>
      <c r="T68" s="2">
        <f t="shared" si="37"/>
        <v>7.6899405732966067E-2</v>
      </c>
      <c r="U68" s="3">
        <f t="shared" si="38"/>
        <v>13.087640923722056</v>
      </c>
      <c r="V68" s="5">
        <f t="shared" si="39"/>
        <v>66.702884990320641</v>
      </c>
      <c r="W68" s="5">
        <f t="shared" si="40"/>
        <v>20.209474085957289</v>
      </c>
    </row>
    <row r="69" spans="1:23" x14ac:dyDescent="0.25">
      <c r="A69">
        <f t="shared" si="41"/>
        <v>92</v>
      </c>
      <c r="B69">
        <f t="shared" si="23"/>
        <v>0.92</v>
      </c>
      <c r="C69" s="3">
        <f t="shared" si="1"/>
        <v>0.92459725466460985</v>
      </c>
      <c r="D69" s="2">
        <f t="shared" si="24"/>
        <v>7.1703066989583328E-2</v>
      </c>
      <c r="E69" s="2">
        <f t="shared" si="25"/>
        <v>0.1103222747541667</v>
      </c>
      <c r="F69" s="2">
        <f t="shared" si="26"/>
        <v>0</v>
      </c>
      <c r="G69" s="2">
        <f t="shared" si="27"/>
        <v>8.1216141808333336E-2</v>
      </c>
      <c r="H69" s="2">
        <f t="shared" si="28"/>
        <v>5.5475835279876595E-2</v>
      </c>
      <c r="I69" s="2">
        <f t="shared" si="29"/>
        <v>4.6229862733230499E-3</v>
      </c>
      <c r="J69" s="2">
        <f t="shared" si="30"/>
        <v>0</v>
      </c>
      <c r="K69" s="2">
        <f t="shared" si="31"/>
        <v>1.84919450932922E-2</v>
      </c>
      <c r="L69" s="2">
        <f t="shared" si="32"/>
        <v>0</v>
      </c>
      <c r="M69" s="2">
        <f t="shared" si="33"/>
        <v>8.9460899973958308E-4</v>
      </c>
      <c r="N69" s="3">
        <f t="shared" si="20"/>
        <v>4.9800000000000004E-2</v>
      </c>
      <c r="O69" s="3">
        <f t="shared" si="34"/>
        <v>0.39252685919831476</v>
      </c>
      <c r="P69" s="3">
        <f t="shared" si="35"/>
        <v>3.036</v>
      </c>
      <c r="Q69" s="3">
        <f t="shared" si="21"/>
        <v>88.551151111877289</v>
      </c>
      <c r="R69">
        <f t="shared" si="22"/>
        <v>0.92</v>
      </c>
      <c r="S69" s="1">
        <f t="shared" si="36"/>
        <v>0.26413609255182291</v>
      </c>
      <c r="T69" s="2">
        <f t="shared" si="37"/>
        <v>7.8590766646491839E-2</v>
      </c>
      <c r="U69" s="3">
        <f t="shared" si="38"/>
        <v>12.687029902032704</v>
      </c>
      <c r="V69" s="5">
        <f t="shared" si="39"/>
        <v>67.291214948013149</v>
      </c>
      <c r="W69" s="5">
        <f t="shared" si="40"/>
        <v>20.021755149954146</v>
      </c>
    </row>
    <row r="70" spans="1:23" x14ac:dyDescent="0.25">
      <c r="A70">
        <f t="shared" si="41"/>
        <v>94</v>
      </c>
      <c r="B70">
        <f t="shared" si="23"/>
        <v>0.94</v>
      </c>
      <c r="C70" s="3">
        <f t="shared" si="1"/>
        <v>0.94449991176989168</v>
      </c>
      <c r="D70" s="2">
        <f t="shared" si="24"/>
        <v>7.4823216989583316E-2</v>
      </c>
      <c r="E70" s="2">
        <f t="shared" si="25"/>
        <v>0.11512293475416664</v>
      </c>
      <c r="F70" s="2">
        <f t="shared" si="26"/>
        <v>0</v>
      </c>
      <c r="G70" s="2">
        <f t="shared" si="27"/>
        <v>8.3808981808333322E-2</v>
      </c>
      <c r="H70" s="2">
        <f t="shared" si="28"/>
        <v>5.6669994706193515E-2</v>
      </c>
      <c r="I70" s="2">
        <f t="shared" si="29"/>
        <v>4.7224995588494587E-3</v>
      </c>
      <c r="J70" s="2">
        <f t="shared" si="30"/>
        <v>0</v>
      </c>
      <c r="K70" s="2">
        <f t="shared" si="31"/>
        <v>1.8889998235397835E-2</v>
      </c>
      <c r="L70" s="2">
        <f t="shared" si="32"/>
        <v>0</v>
      </c>
      <c r="M70" s="2">
        <f t="shared" si="33"/>
        <v>9.3169274973958316E-4</v>
      </c>
      <c r="N70" s="3">
        <f t="shared" si="20"/>
        <v>4.9800000000000004E-2</v>
      </c>
      <c r="O70" s="3">
        <f t="shared" si="34"/>
        <v>0.40476931880226363</v>
      </c>
      <c r="P70" s="3">
        <f t="shared" si="35"/>
        <v>3.1019999999999999</v>
      </c>
      <c r="Q70" s="3">
        <f t="shared" si="21"/>
        <v>88.45748659223149</v>
      </c>
      <c r="R70">
        <f t="shared" si="22"/>
        <v>0.94</v>
      </c>
      <c r="S70" s="1">
        <f t="shared" si="36"/>
        <v>0.27468682630182284</v>
      </c>
      <c r="T70" s="2">
        <f t="shared" si="37"/>
        <v>8.0282492500440811E-2</v>
      </c>
      <c r="U70" s="3">
        <f t="shared" si="38"/>
        <v>12.303304051641351</v>
      </c>
      <c r="V70" s="5">
        <f t="shared" si="39"/>
        <v>67.862561103849814</v>
      </c>
      <c r="W70" s="5">
        <f t="shared" si="40"/>
        <v>19.834134844508831</v>
      </c>
    </row>
    <row r="71" spans="1:23" x14ac:dyDescent="0.25">
      <c r="A71">
        <f t="shared" si="41"/>
        <v>96</v>
      </c>
      <c r="B71">
        <f t="shared" si="23"/>
        <v>0.96</v>
      </c>
      <c r="C71" s="3">
        <f t="shared" si="1"/>
        <v>0.96440659647958304</v>
      </c>
      <c r="D71" s="2">
        <f t="shared" si="24"/>
        <v>7.8010466989583319E-2</v>
      </c>
      <c r="E71" s="2">
        <f t="shared" si="25"/>
        <v>0.1200268347541667</v>
      </c>
      <c r="F71" s="2">
        <f t="shared" si="26"/>
        <v>0</v>
      </c>
      <c r="G71" s="2">
        <f t="shared" si="27"/>
        <v>8.6457581808333336E-2</v>
      </c>
      <c r="H71" s="2">
        <f t="shared" si="28"/>
        <v>5.7864395788774982E-2</v>
      </c>
      <c r="I71" s="2">
        <f t="shared" si="29"/>
        <v>4.822032982397916E-3</v>
      </c>
      <c r="J71" s="2">
        <f t="shared" si="30"/>
        <v>0</v>
      </c>
      <c r="K71" s="2">
        <f t="shared" si="31"/>
        <v>1.9288131929591664E-2</v>
      </c>
      <c r="L71" s="2">
        <f t="shared" si="32"/>
        <v>0</v>
      </c>
      <c r="M71" s="2">
        <f t="shared" si="33"/>
        <v>9.6957399973958327E-4</v>
      </c>
      <c r="N71" s="3">
        <f t="shared" si="20"/>
        <v>4.9800000000000004E-2</v>
      </c>
      <c r="O71" s="3">
        <f t="shared" si="34"/>
        <v>0.41723901825258752</v>
      </c>
      <c r="P71" s="3">
        <f t="shared" si="35"/>
        <v>3.1679999999999997</v>
      </c>
      <c r="Q71" s="3">
        <f t="shared" si="21"/>
        <v>88.362309566296489</v>
      </c>
      <c r="R71">
        <f t="shared" si="22"/>
        <v>0.96</v>
      </c>
      <c r="S71" s="1">
        <f t="shared" si="36"/>
        <v>0.28546445755182293</v>
      </c>
      <c r="T71" s="2">
        <f t="shared" si="37"/>
        <v>8.1974560700764559E-2</v>
      </c>
      <c r="U71" s="3">
        <f t="shared" si="38"/>
        <v>11.935604730488594</v>
      </c>
      <c r="V71" s="5">
        <f t="shared" si="39"/>
        <v>68.417488553050148</v>
      </c>
      <c r="W71" s="5">
        <f t="shared" si="40"/>
        <v>19.646906716461242</v>
      </c>
    </row>
    <row r="72" spans="1:23" x14ac:dyDescent="0.25">
      <c r="A72">
        <f t="shared" si="41"/>
        <v>98</v>
      </c>
      <c r="B72">
        <f t="shared" si="23"/>
        <v>0.98</v>
      </c>
      <c r="C72" s="3">
        <f t="shared" si="1"/>
        <v>0.98431706443266198</v>
      </c>
      <c r="D72" s="2">
        <f t="shared" si="24"/>
        <v>8.1264816989583308E-2</v>
      </c>
      <c r="E72" s="2">
        <f t="shared" si="25"/>
        <v>0.12503397475416667</v>
      </c>
      <c r="F72" s="2">
        <f t="shared" si="26"/>
        <v>0</v>
      </c>
      <c r="G72" s="2">
        <f t="shared" si="27"/>
        <v>8.9161941808333325E-2</v>
      </c>
      <c r="H72" s="2">
        <f t="shared" si="28"/>
        <v>5.905902386595973E-2</v>
      </c>
      <c r="I72" s="2">
        <f t="shared" si="29"/>
        <v>4.9215853221633099E-3</v>
      </c>
      <c r="J72" s="2">
        <f t="shared" si="30"/>
        <v>0</v>
      </c>
      <c r="K72" s="2">
        <f t="shared" si="31"/>
        <v>1.968634128865324E-2</v>
      </c>
      <c r="L72" s="2">
        <f t="shared" si="32"/>
        <v>0</v>
      </c>
      <c r="M72" s="2">
        <f t="shared" si="33"/>
        <v>1.008252749739583E-3</v>
      </c>
      <c r="N72" s="3">
        <f t="shared" si="20"/>
        <v>4.9800000000000004E-2</v>
      </c>
      <c r="O72" s="3">
        <f t="shared" si="34"/>
        <v>0.4299359367785992</v>
      </c>
      <c r="P72" s="3">
        <f t="shared" si="35"/>
        <v>3.234</v>
      </c>
      <c r="Q72" s="3">
        <f t="shared" si="21"/>
        <v>88.265735422311806</v>
      </c>
      <c r="R72">
        <f t="shared" si="22"/>
        <v>0.98</v>
      </c>
      <c r="S72" s="1">
        <f t="shared" si="36"/>
        <v>0.29646898630182289</v>
      </c>
      <c r="T72" s="2">
        <f t="shared" si="37"/>
        <v>8.3666950476776275E-2</v>
      </c>
      <c r="U72" s="3">
        <f t="shared" si="38"/>
        <v>11.583121051275397</v>
      </c>
      <c r="V72" s="5">
        <f t="shared" si="39"/>
        <v>68.956549322950238</v>
      </c>
      <c r="W72" s="5">
        <f t="shared" si="40"/>
        <v>19.460329625774364</v>
      </c>
    </row>
    <row r="73" spans="1:23" x14ac:dyDescent="0.25">
      <c r="A73">
        <f t="shared" si="41"/>
        <v>100</v>
      </c>
      <c r="B73">
        <f t="shared" si="23"/>
        <v>1</v>
      </c>
      <c r="C73" s="3">
        <f t="shared" si="1"/>
        <v>1.004231090602822</v>
      </c>
      <c r="D73" s="2">
        <f t="shared" si="24"/>
        <v>8.4586266989583325E-2</v>
      </c>
      <c r="E73" s="2">
        <f t="shared" si="25"/>
        <v>0.13014435475416669</v>
      </c>
      <c r="F73" s="2">
        <f t="shared" si="26"/>
        <v>0</v>
      </c>
      <c r="G73" s="2">
        <f t="shared" si="27"/>
        <v>9.192206180833333E-2</v>
      </c>
      <c r="H73" s="2">
        <f t="shared" si="28"/>
        <v>6.0253865436169327E-2</v>
      </c>
      <c r="I73" s="2">
        <f t="shared" si="29"/>
        <v>5.02115545301411E-3</v>
      </c>
      <c r="J73" s="2">
        <f t="shared" si="30"/>
        <v>0</v>
      </c>
      <c r="K73" s="2">
        <f t="shared" si="31"/>
        <v>2.008462181205644E-2</v>
      </c>
      <c r="L73" s="2">
        <f t="shared" si="32"/>
        <v>0</v>
      </c>
      <c r="M73" s="2">
        <f t="shared" si="33"/>
        <v>1.0477289997395829E-3</v>
      </c>
      <c r="N73" s="3">
        <f t="shared" si="20"/>
        <v>4.9800000000000004E-2</v>
      </c>
      <c r="O73" s="3">
        <f t="shared" si="34"/>
        <v>0.44286005525306288</v>
      </c>
      <c r="P73" s="3">
        <f t="shared" si="35"/>
        <v>3.3</v>
      </c>
      <c r="Q73" s="3">
        <f t="shared" si="21"/>
        <v>88.167870326022097</v>
      </c>
      <c r="R73">
        <f t="shared" si="22"/>
        <v>1</v>
      </c>
      <c r="S73" s="1">
        <f t="shared" si="36"/>
        <v>0.30770041255182295</v>
      </c>
      <c r="T73" s="2">
        <f t="shared" si="37"/>
        <v>8.5359642701239885E-2</v>
      </c>
      <c r="U73" s="3">
        <f t="shared" si="38"/>
        <v>11.245087338378907</v>
      </c>
      <c r="V73" s="5">
        <f t="shared" si="39"/>
        <v>69.480281389567665</v>
      </c>
      <c r="W73" s="5">
        <f t="shared" si="40"/>
        <v>19.274631272053412</v>
      </c>
    </row>
    <row r="74" spans="1:23" x14ac:dyDescent="0.25">
      <c r="C74" s="3"/>
      <c r="D74" s="4"/>
      <c r="E74" s="7"/>
      <c r="F74" s="7"/>
      <c r="G74" s="7"/>
      <c r="H74" s="7"/>
      <c r="J74" s="1"/>
      <c r="L74" s="1"/>
      <c r="M74" s="3"/>
      <c r="N74" s="1"/>
      <c r="O74" s="3"/>
      <c r="P74" s="3"/>
      <c r="Q74" s="3"/>
      <c r="R74" s="3"/>
      <c r="S74" s="2"/>
      <c r="T74" s="3"/>
      <c r="U74" s="5"/>
      <c r="V74" s="5"/>
    </row>
    <row r="75" spans="1:23" x14ac:dyDescent="0.25">
      <c r="C75" s="3"/>
      <c r="D75" s="4"/>
      <c r="E75" s="7"/>
      <c r="F75" s="7"/>
      <c r="G75" s="7"/>
      <c r="H75" s="7"/>
      <c r="J75" s="1"/>
      <c r="L75" s="1"/>
      <c r="M75" s="3"/>
      <c r="N75" s="1"/>
      <c r="O75" s="3"/>
      <c r="P75" s="3"/>
      <c r="Q75" s="3"/>
      <c r="R75" s="3"/>
      <c r="S75" s="2"/>
      <c r="T75" s="3"/>
      <c r="U75" s="5"/>
      <c r="V75" s="5"/>
    </row>
    <row r="76" spans="1:23" x14ac:dyDescent="0.25">
      <c r="C76" s="3"/>
      <c r="D76" s="4"/>
      <c r="E76" s="7"/>
      <c r="F76" s="7"/>
      <c r="G76" s="7"/>
      <c r="H76" s="7"/>
      <c r="J76" s="1"/>
      <c r="L76" s="1"/>
      <c r="M76" s="3"/>
      <c r="N76" s="1"/>
      <c r="O76" s="3"/>
      <c r="P76" s="3"/>
      <c r="Q76" s="3"/>
      <c r="R76" s="3"/>
      <c r="S76" s="2"/>
      <c r="T76" s="3"/>
      <c r="U76" s="5"/>
      <c r="V76" s="5"/>
    </row>
    <row r="77" spans="1:23" x14ac:dyDescent="0.25">
      <c r="C77" s="3"/>
      <c r="D77" s="4"/>
      <c r="E77" s="7"/>
      <c r="F77" s="7"/>
      <c r="G77" s="7"/>
      <c r="H77" s="7"/>
      <c r="J77" s="1"/>
      <c r="L77" s="1"/>
      <c r="M77" s="3"/>
      <c r="N77" s="1"/>
      <c r="O77" s="3"/>
      <c r="P77" s="3"/>
      <c r="Q77" s="3"/>
      <c r="R77" s="3"/>
      <c r="S77" s="2"/>
      <c r="T77" s="3"/>
      <c r="U77" s="5"/>
      <c r="V77" s="5"/>
    </row>
    <row r="78" spans="1:23" x14ac:dyDescent="0.25">
      <c r="C78" s="3"/>
      <c r="D78" s="4"/>
      <c r="E78" s="7"/>
      <c r="F78" s="7"/>
      <c r="G78" s="7"/>
      <c r="H78" s="7"/>
      <c r="J78" s="1"/>
      <c r="L78" s="1"/>
      <c r="M78" s="3"/>
      <c r="N78" s="1"/>
      <c r="O78" s="3"/>
      <c r="P78" s="3"/>
      <c r="Q78" s="3"/>
      <c r="R78" s="3"/>
      <c r="S78" s="2"/>
      <c r="T78" s="3"/>
      <c r="U78" s="5"/>
      <c r="V78" s="5"/>
    </row>
    <row r="79" spans="1:23" x14ac:dyDescent="0.25">
      <c r="C79" s="3"/>
      <c r="D79" s="4"/>
      <c r="E79" s="7"/>
      <c r="F79" s="7"/>
      <c r="G79" s="7"/>
      <c r="H79" s="7"/>
      <c r="J79" s="1"/>
      <c r="L79" s="1"/>
      <c r="M79" s="3"/>
      <c r="N79" s="1"/>
      <c r="O79" s="3"/>
      <c r="P79" s="3"/>
      <c r="Q79" s="3"/>
      <c r="R79" s="3"/>
      <c r="S79" s="2"/>
      <c r="T79" s="3"/>
      <c r="U79" s="5"/>
      <c r="V79" s="5"/>
    </row>
    <row r="80" spans="1:23" x14ac:dyDescent="0.25">
      <c r="C80" s="3"/>
      <c r="D80" s="4"/>
      <c r="E80" s="7"/>
      <c r="F80" s="7"/>
      <c r="G80" s="7"/>
      <c r="H80" s="7"/>
      <c r="J80" s="1"/>
      <c r="L80" s="1"/>
      <c r="M80" s="3"/>
      <c r="N80" s="1"/>
      <c r="O80" s="3"/>
      <c r="P80" s="3"/>
      <c r="Q80" s="3"/>
      <c r="R80" s="3"/>
      <c r="S80" s="2"/>
      <c r="T80" s="3"/>
      <c r="U80" s="5"/>
      <c r="V80" s="5"/>
    </row>
    <row r="81" spans="3:22" x14ac:dyDescent="0.25">
      <c r="C81" s="3"/>
      <c r="D81" s="4"/>
      <c r="E81" s="7"/>
      <c r="F81" s="7"/>
      <c r="G81" s="7"/>
      <c r="H81" s="7"/>
      <c r="J81" s="1"/>
      <c r="L81" s="1"/>
      <c r="M81" s="3"/>
      <c r="N81" s="1"/>
      <c r="O81" s="3"/>
      <c r="P81" s="3"/>
      <c r="Q81" s="3"/>
      <c r="R81" s="3"/>
      <c r="S81" s="2"/>
      <c r="T81" s="3"/>
      <c r="U81" s="5"/>
      <c r="V81" s="5"/>
    </row>
    <row r="82" spans="3:22" x14ac:dyDescent="0.25">
      <c r="C82" s="3"/>
      <c r="D82" s="4"/>
      <c r="E82" s="7"/>
      <c r="F82" s="7"/>
      <c r="G82" s="7"/>
      <c r="H82" s="7"/>
      <c r="J82" s="1"/>
      <c r="L82" s="1"/>
      <c r="M82" s="3"/>
      <c r="N82" s="1"/>
      <c r="O82" s="3"/>
      <c r="P82" s="3"/>
      <c r="Q82" s="3"/>
      <c r="R82" s="3"/>
      <c r="S82" s="2"/>
      <c r="T82" s="3"/>
      <c r="U82" s="5"/>
      <c r="V82" s="5"/>
    </row>
    <row r="83" spans="3:22" x14ac:dyDescent="0.25">
      <c r="C83" s="3"/>
      <c r="D83" s="4"/>
      <c r="E83" s="7"/>
      <c r="F83" s="7"/>
      <c r="G83" s="7"/>
      <c r="H83" s="7"/>
      <c r="J83" s="1"/>
      <c r="L83" s="1"/>
      <c r="M83" s="3"/>
      <c r="N83" s="1"/>
      <c r="O83" s="3"/>
      <c r="P83" s="3"/>
      <c r="Q83" s="3"/>
      <c r="R83" s="3"/>
      <c r="S83" s="2"/>
      <c r="T83" s="3"/>
      <c r="U83" s="5"/>
      <c r="V83" s="5"/>
    </row>
    <row r="84" spans="3:22" x14ac:dyDescent="0.25">
      <c r="C84" s="3"/>
      <c r="D84" s="4"/>
      <c r="E84" s="7"/>
      <c r="F84" s="7"/>
      <c r="G84" s="7"/>
      <c r="H84" s="7"/>
      <c r="J84" s="1"/>
      <c r="L84" s="1"/>
      <c r="M84" s="3"/>
      <c r="N84" s="1"/>
      <c r="O84" s="3"/>
      <c r="P84" s="3"/>
      <c r="Q84" s="3"/>
      <c r="R84" s="3"/>
      <c r="S84" s="2"/>
      <c r="T84" s="3"/>
      <c r="U84" s="5"/>
      <c r="V84" s="5"/>
    </row>
    <row r="85" spans="3:22" x14ac:dyDescent="0.25">
      <c r="C85" s="3"/>
      <c r="D85" s="4"/>
      <c r="E85" s="7"/>
      <c r="F85" s="7"/>
      <c r="G85" s="7"/>
      <c r="H85" s="7"/>
      <c r="J85" s="1"/>
      <c r="L85" s="1"/>
      <c r="M85" s="3"/>
      <c r="N85" s="1"/>
      <c r="O85" s="3"/>
      <c r="P85" s="3"/>
      <c r="Q85" s="3"/>
      <c r="R85" s="3"/>
      <c r="S85" s="2"/>
      <c r="T85" s="3"/>
      <c r="U85" s="5"/>
      <c r="V85" s="5"/>
    </row>
    <row r="86" spans="3:22" x14ac:dyDescent="0.25">
      <c r="C86" s="3"/>
      <c r="D86" s="4"/>
      <c r="E86" s="7"/>
      <c r="F86" s="7"/>
      <c r="G86" s="7"/>
      <c r="H86" s="7"/>
      <c r="J86" s="1"/>
      <c r="L86" s="1"/>
      <c r="M86" s="3"/>
      <c r="N86" s="1"/>
      <c r="O86" s="3"/>
      <c r="P86" s="3"/>
      <c r="Q86" s="3"/>
      <c r="R86" s="3"/>
      <c r="S86" s="2"/>
      <c r="T86" s="3"/>
      <c r="U86" s="5"/>
      <c r="V86" s="5"/>
    </row>
    <row r="87" spans="3:22" x14ac:dyDescent="0.25">
      <c r="C87" s="3"/>
      <c r="D87" s="4"/>
      <c r="E87" s="7"/>
      <c r="F87" s="7"/>
      <c r="G87" s="7"/>
      <c r="H87" s="7"/>
      <c r="J87" s="1"/>
      <c r="L87" s="1"/>
      <c r="M87" s="3"/>
      <c r="N87" s="1"/>
      <c r="O87" s="3"/>
      <c r="P87" s="3"/>
      <c r="Q87" s="3"/>
      <c r="R87" s="3"/>
      <c r="S87" s="2"/>
      <c r="T87" s="3"/>
      <c r="U87" s="5"/>
      <c r="V87" s="5"/>
    </row>
    <row r="88" spans="3:22" x14ac:dyDescent="0.25">
      <c r="C88" s="3"/>
      <c r="D88" s="4"/>
      <c r="E88" s="7"/>
      <c r="F88" s="7"/>
      <c r="G88" s="7"/>
      <c r="H88" s="7"/>
      <c r="J88" s="1"/>
      <c r="L88" s="1"/>
      <c r="M88" s="3"/>
      <c r="N88" s="1"/>
      <c r="O88" s="3"/>
      <c r="P88" s="3"/>
      <c r="Q88" s="3"/>
      <c r="R88" s="3"/>
      <c r="S88" s="2"/>
      <c r="T88" s="3"/>
      <c r="U88" s="5"/>
      <c r="V88" s="5"/>
    </row>
    <row r="89" spans="3:22" x14ac:dyDescent="0.25">
      <c r="C89" s="3"/>
      <c r="D89" s="4"/>
      <c r="E89" s="7"/>
      <c r="F89" s="7"/>
      <c r="G89" s="7"/>
      <c r="H89" s="7"/>
      <c r="J89" s="1"/>
      <c r="L89" s="1"/>
      <c r="M89" s="3"/>
      <c r="N89" s="1"/>
      <c r="O89" s="3"/>
      <c r="P89" s="3"/>
      <c r="Q89" s="3"/>
      <c r="R89" s="3"/>
      <c r="S89" s="2"/>
      <c r="T89" s="3"/>
      <c r="U89" s="5"/>
      <c r="V89" s="5"/>
    </row>
    <row r="90" spans="3:22" x14ac:dyDescent="0.25">
      <c r="C90" s="3"/>
      <c r="D90" s="4"/>
      <c r="E90" s="7"/>
      <c r="F90" s="7"/>
      <c r="G90" s="7"/>
      <c r="H90" s="7"/>
      <c r="J90" s="1"/>
      <c r="L90" s="1"/>
      <c r="M90" s="3"/>
      <c r="N90" s="1"/>
      <c r="O90" s="3"/>
      <c r="P90" s="3"/>
      <c r="Q90" s="3"/>
      <c r="R90" s="3"/>
      <c r="S90" s="2"/>
      <c r="T90" s="3"/>
      <c r="U90" s="5"/>
      <c r="V90" s="5"/>
    </row>
    <row r="91" spans="3:22" x14ac:dyDescent="0.25">
      <c r="C91" s="3"/>
      <c r="D91" s="4"/>
      <c r="E91" s="7"/>
      <c r="F91" s="7"/>
      <c r="G91" s="7"/>
      <c r="H91" s="7"/>
      <c r="J91" s="1"/>
      <c r="L91" s="1"/>
      <c r="M91" s="3"/>
      <c r="N91" s="1"/>
      <c r="O91" s="3"/>
      <c r="P91" s="3"/>
      <c r="Q91" s="3"/>
      <c r="R91" s="3"/>
      <c r="S91" s="2"/>
      <c r="T91" s="3"/>
      <c r="U91" s="5"/>
      <c r="V91" s="5"/>
    </row>
    <row r="92" spans="3:22" x14ac:dyDescent="0.25">
      <c r="C92" s="3"/>
      <c r="D92" s="4"/>
      <c r="E92" s="7"/>
      <c r="F92" s="7"/>
      <c r="G92" s="7"/>
      <c r="H92" s="7"/>
      <c r="J92" s="1"/>
      <c r="L92" s="1"/>
      <c r="M92" s="3"/>
      <c r="N92" s="1"/>
      <c r="O92" s="3"/>
      <c r="P92" s="3"/>
      <c r="Q92" s="3"/>
      <c r="R92" s="3"/>
      <c r="S92" s="2"/>
      <c r="T92" s="3"/>
      <c r="U92" s="5"/>
      <c r="V92" s="5"/>
    </row>
    <row r="93" spans="3:22" x14ac:dyDescent="0.25">
      <c r="C93" s="3"/>
      <c r="D93" s="4"/>
      <c r="E93" s="7"/>
      <c r="F93" s="7"/>
      <c r="G93" s="7"/>
      <c r="H93" s="7"/>
      <c r="J93" s="1"/>
      <c r="L93" s="1"/>
      <c r="M93" s="3"/>
      <c r="N93" s="1"/>
      <c r="O93" s="3"/>
      <c r="P93" s="3"/>
      <c r="Q93" s="3"/>
      <c r="R93" s="3"/>
      <c r="S93" s="2"/>
      <c r="T93" s="3"/>
      <c r="U93" s="5"/>
      <c r="V93" s="5"/>
    </row>
    <row r="94" spans="3:22" x14ac:dyDescent="0.25">
      <c r="C94" s="3"/>
      <c r="D94" s="4"/>
      <c r="E94" s="7"/>
      <c r="F94" s="7"/>
      <c r="G94" s="7"/>
      <c r="H94" s="7"/>
      <c r="J94" s="1"/>
      <c r="L94" s="1"/>
      <c r="M94" s="3"/>
      <c r="N94" s="1"/>
      <c r="O94" s="3"/>
      <c r="P94" s="3"/>
      <c r="Q94" s="3"/>
      <c r="R94" s="3"/>
      <c r="S94" s="2"/>
      <c r="T94" s="3"/>
      <c r="U94" s="5"/>
      <c r="V94" s="5"/>
    </row>
    <row r="95" spans="3:22" x14ac:dyDescent="0.25">
      <c r="C95" s="3"/>
      <c r="D95" s="4"/>
      <c r="E95" s="7"/>
      <c r="F95" s="7"/>
      <c r="G95" s="7"/>
      <c r="H95" s="7"/>
      <c r="J95" s="1"/>
      <c r="L95" s="1"/>
      <c r="M95" s="3"/>
      <c r="N95" s="1"/>
      <c r="O95" s="3"/>
      <c r="P95" s="3"/>
      <c r="Q95" s="3"/>
      <c r="R95" s="3"/>
      <c r="S95" s="2"/>
      <c r="T95" s="3"/>
      <c r="U95" s="5"/>
      <c r="V95" s="5"/>
    </row>
    <row r="96" spans="3:22" x14ac:dyDescent="0.25">
      <c r="C96" s="3"/>
      <c r="D96" s="4"/>
      <c r="E96" s="7"/>
      <c r="F96" s="7"/>
      <c r="G96" s="7"/>
      <c r="H96" s="7"/>
      <c r="J96" s="1"/>
      <c r="L96" s="1"/>
      <c r="M96" s="3"/>
      <c r="N96" s="1"/>
      <c r="O96" s="3"/>
      <c r="P96" s="3"/>
      <c r="Q96" s="3"/>
      <c r="R96" s="3"/>
      <c r="S96" s="2"/>
      <c r="T96" s="3"/>
      <c r="U96" s="5"/>
      <c r="V96" s="5"/>
    </row>
    <row r="97" spans="3:22" x14ac:dyDescent="0.25">
      <c r="C97" s="3"/>
      <c r="D97" s="4"/>
      <c r="E97" s="7"/>
      <c r="F97" s="7"/>
      <c r="G97" s="7"/>
      <c r="H97" s="7"/>
      <c r="J97" s="1"/>
      <c r="L97" s="1"/>
      <c r="M97" s="3"/>
      <c r="N97" s="1"/>
      <c r="O97" s="3"/>
      <c r="P97" s="3"/>
      <c r="Q97" s="3"/>
      <c r="R97" s="3"/>
      <c r="S97" s="2"/>
      <c r="T97" s="3"/>
      <c r="U97" s="5"/>
      <c r="V97" s="5"/>
    </row>
    <row r="98" spans="3:22" x14ac:dyDescent="0.25">
      <c r="C98" s="3"/>
      <c r="D98" s="4"/>
      <c r="E98" s="7"/>
      <c r="F98" s="7"/>
      <c r="G98" s="7"/>
      <c r="H98" s="7"/>
      <c r="J98" s="1"/>
      <c r="L98" s="1"/>
      <c r="M98" s="3"/>
      <c r="N98" s="1"/>
      <c r="O98" s="3"/>
      <c r="P98" s="3"/>
      <c r="Q98" s="3"/>
      <c r="R98" s="3"/>
      <c r="S98" s="2"/>
      <c r="T98" s="3"/>
      <c r="U98" s="5"/>
      <c r="V98" s="5"/>
    </row>
    <row r="99" spans="3:22" x14ac:dyDescent="0.25">
      <c r="C99" s="3"/>
      <c r="D99" s="4"/>
      <c r="E99" s="7"/>
      <c r="F99" s="7"/>
      <c r="G99" s="7"/>
      <c r="H99" s="7"/>
      <c r="J99" s="1"/>
      <c r="L99" s="1"/>
      <c r="M99" s="3"/>
      <c r="N99" s="1"/>
      <c r="O99" s="3"/>
      <c r="P99" s="3"/>
      <c r="Q99" s="3"/>
      <c r="R99" s="3"/>
      <c r="S99" s="2"/>
      <c r="T99" s="3"/>
      <c r="U99" s="5"/>
      <c r="V99" s="5"/>
    </row>
    <row r="100" spans="3:22" x14ac:dyDescent="0.25">
      <c r="C100" s="3"/>
      <c r="D100" s="4"/>
      <c r="E100" s="7"/>
      <c r="F100" s="7"/>
      <c r="G100" s="7"/>
      <c r="H100" s="7"/>
      <c r="J100" s="1"/>
      <c r="L100" s="1"/>
      <c r="M100" s="3"/>
      <c r="N100" s="1"/>
      <c r="O100" s="3"/>
      <c r="P100" s="3"/>
      <c r="Q100" s="3"/>
      <c r="R100" s="3"/>
      <c r="S100" s="2"/>
      <c r="T100" s="3"/>
      <c r="U100" s="5"/>
      <c r="V100" s="5"/>
    </row>
    <row r="101" spans="3:22" x14ac:dyDescent="0.25">
      <c r="C101" s="3"/>
      <c r="D101" s="4"/>
      <c r="E101" s="7"/>
      <c r="F101" s="7"/>
      <c r="G101" s="7"/>
      <c r="H101" s="7"/>
      <c r="J101" s="1"/>
      <c r="L101" s="1"/>
      <c r="M101" s="3"/>
      <c r="N101" s="1"/>
      <c r="O101" s="3"/>
      <c r="P101" s="3"/>
      <c r="Q101" s="3"/>
      <c r="R101" s="3"/>
      <c r="S101" s="2"/>
      <c r="T101" s="3"/>
      <c r="U101" s="5"/>
      <c r="V101" s="5"/>
    </row>
    <row r="102" spans="3:22" x14ac:dyDescent="0.25">
      <c r="C102" s="3"/>
      <c r="D102" s="4"/>
      <c r="E102" s="7"/>
      <c r="F102" s="7"/>
      <c r="G102" s="7"/>
      <c r="H102" s="7"/>
      <c r="J102" s="1"/>
      <c r="L102" s="1"/>
      <c r="M102" s="3"/>
      <c r="N102" s="1"/>
      <c r="O102" s="3"/>
      <c r="P102" s="3"/>
      <c r="Q102" s="3"/>
      <c r="R102" s="3"/>
      <c r="S102" s="2"/>
      <c r="T102" s="3"/>
      <c r="U102" s="5"/>
      <c r="V102" s="5"/>
    </row>
    <row r="103" spans="3:22" x14ac:dyDescent="0.25">
      <c r="C103" s="3"/>
      <c r="D103" s="4"/>
      <c r="E103" s="7"/>
      <c r="F103" s="7"/>
      <c r="G103" s="7"/>
      <c r="H103" s="7"/>
      <c r="J103" s="1"/>
      <c r="L103" s="1"/>
      <c r="M103" s="3"/>
      <c r="N103" s="1"/>
      <c r="O103" s="3"/>
      <c r="P103" s="3"/>
      <c r="Q103" s="3"/>
      <c r="R103" s="3"/>
      <c r="S103" s="2"/>
      <c r="T103" s="3"/>
      <c r="U103" s="5"/>
      <c r="V103" s="5"/>
    </row>
    <row r="104" spans="3:22" x14ac:dyDescent="0.25">
      <c r="C104" s="3"/>
      <c r="D104" s="4"/>
      <c r="E104" s="7"/>
      <c r="F104" s="7"/>
      <c r="G104" s="7"/>
      <c r="H104" s="7"/>
      <c r="J104" s="1"/>
      <c r="L104" s="1"/>
      <c r="M104" s="3"/>
      <c r="N104" s="1"/>
      <c r="O104" s="3"/>
      <c r="P104" s="3"/>
      <c r="Q104" s="3"/>
      <c r="R104" s="3"/>
      <c r="S104" s="2"/>
      <c r="T104" s="3"/>
      <c r="U104" s="5"/>
      <c r="V104" s="5"/>
    </row>
    <row r="105" spans="3:22" x14ac:dyDescent="0.25">
      <c r="C105" s="3"/>
      <c r="D105" s="4"/>
      <c r="E105" s="7"/>
      <c r="F105" s="7"/>
      <c r="G105" s="7"/>
      <c r="H105" s="7"/>
      <c r="J105" s="1"/>
      <c r="L105" s="1"/>
      <c r="M105" s="3"/>
      <c r="N105" s="1"/>
      <c r="O105" s="3"/>
      <c r="P105" s="3"/>
      <c r="Q105" s="3"/>
      <c r="R105" s="3"/>
      <c r="S105" s="2"/>
      <c r="T105" s="3"/>
      <c r="U105" s="5"/>
      <c r="V105" s="5"/>
    </row>
    <row r="106" spans="3:22" x14ac:dyDescent="0.25">
      <c r="C106" s="3"/>
      <c r="D106" s="4"/>
      <c r="E106" s="7"/>
      <c r="F106" s="7"/>
      <c r="G106" s="7"/>
      <c r="H106" s="7"/>
      <c r="J106" s="1"/>
      <c r="L106" s="1"/>
      <c r="M106" s="3"/>
      <c r="N106" s="1"/>
      <c r="O106" s="3"/>
      <c r="P106" s="3"/>
      <c r="Q106" s="3"/>
      <c r="R106" s="3"/>
      <c r="S106" s="2"/>
      <c r="T106" s="3"/>
      <c r="U106" s="5"/>
      <c r="V106" s="5"/>
    </row>
    <row r="107" spans="3:22" x14ac:dyDescent="0.25">
      <c r="C107" s="3"/>
      <c r="D107" s="4"/>
      <c r="E107" s="7"/>
      <c r="F107" s="7"/>
      <c r="G107" s="7"/>
      <c r="H107" s="7"/>
      <c r="J107" s="1"/>
      <c r="L107" s="1"/>
      <c r="M107" s="3"/>
      <c r="N107" s="1"/>
      <c r="O107" s="3"/>
      <c r="P107" s="3"/>
      <c r="Q107" s="3"/>
      <c r="R107" s="3"/>
      <c r="S107" s="2"/>
      <c r="T107" s="3"/>
      <c r="U107" s="5"/>
      <c r="V107" s="5"/>
    </row>
    <row r="108" spans="3:22" x14ac:dyDescent="0.25">
      <c r="C108" s="3"/>
      <c r="D108" s="4"/>
      <c r="E108" s="7"/>
      <c r="F108" s="7"/>
      <c r="G108" s="7"/>
      <c r="H108" s="7"/>
      <c r="J108" s="1"/>
      <c r="L108" s="1"/>
      <c r="M108" s="3"/>
      <c r="N108" s="1"/>
      <c r="O108" s="3"/>
      <c r="P108" s="3"/>
      <c r="Q108" s="3"/>
      <c r="R108" s="3"/>
      <c r="S108" s="2"/>
      <c r="T108" s="3"/>
      <c r="U108" s="5"/>
      <c r="V108" s="5"/>
    </row>
    <row r="109" spans="3:22" x14ac:dyDescent="0.25">
      <c r="C109" s="3"/>
      <c r="D109" s="4"/>
      <c r="E109" s="7"/>
      <c r="F109" s="7"/>
      <c r="G109" s="7"/>
      <c r="H109" s="7"/>
      <c r="J109" s="1"/>
      <c r="L109" s="1"/>
      <c r="M109" s="3"/>
      <c r="N109" s="1"/>
      <c r="O109" s="3"/>
      <c r="P109" s="3"/>
      <c r="Q109" s="3"/>
      <c r="R109" s="3"/>
      <c r="S109" s="2"/>
      <c r="T109" s="3"/>
      <c r="U109" s="5"/>
      <c r="V109" s="5"/>
    </row>
    <row r="110" spans="3:22" x14ac:dyDescent="0.25">
      <c r="C110" s="3"/>
      <c r="D110" s="4"/>
      <c r="E110" s="7"/>
      <c r="F110" s="7"/>
      <c r="G110" s="7"/>
      <c r="H110" s="7"/>
      <c r="J110" s="1"/>
      <c r="L110" s="1"/>
      <c r="M110" s="3"/>
      <c r="N110" s="1"/>
      <c r="O110" s="3"/>
      <c r="P110" s="3"/>
      <c r="Q110" s="3"/>
      <c r="R110" s="3"/>
      <c r="S110" s="2"/>
      <c r="T110" s="3"/>
      <c r="U110" s="5"/>
      <c r="V110" s="5"/>
    </row>
    <row r="111" spans="3:22" x14ac:dyDescent="0.25">
      <c r="C111" s="3"/>
      <c r="D111" s="4"/>
      <c r="E111" s="7"/>
      <c r="F111" s="7"/>
      <c r="G111" s="7"/>
      <c r="H111" s="7"/>
      <c r="J111" s="1"/>
      <c r="L111" s="1"/>
      <c r="M111" s="3"/>
      <c r="N111" s="1"/>
      <c r="O111" s="3"/>
      <c r="P111" s="3"/>
      <c r="Q111" s="3"/>
      <c r="R111" s="3"/>
      <c r="S111" s="2"/>
      <c r="T111" s="3"/>
      <c r="U111" s="5"/>
      <c r="V111" s="5"/>
    </row>
    <row r="112" spans="3:22" x14ac:dyDescent="0.25">
      <c r="C112" s="3"/>
      <c r="D112" s="4"/>
      <c r="E112" s="7"/>
      <c r="F112" s="7"/>
      <c r="G112" s="7"/>
      <c r="H112" s="7"/>
      <c r="J112" s="1"/>
      <c r="L112" s="1"/>
      <c r="M112" s="3"/>
      <c r="N112" s="1"/>
      <c r="O112" s="3"/>
      <c r="P112" s="3"/>
      <c r="Q112" s="3"/>
      <c r="R112" s="3"/>
      <c r="S112" s="2"/>
      <c r="T112" s="3"/>
      <c r="U112" s="5"/>
      <c r="V112" s="5"/>
    </row>
    <row r="113" spans="3:22" x14ac:dyDescent="0.25">
      <c r="C113" s="3"/>
      <c r="D113" s="4"/>
      <c r="E113" s="7"/>
      <c r="F113" s="7"/>
      <c r="G113" s="7"/>
      <c r="H113" s="7"/>
      <c r="J113" s="1"/>
      <c r="L113" s="1"/>
      <c r="M113" s="3"/>
      <c r="N113" s="1"/>
      <c r="O113" s="3"/>
      <c r="P113" s="3"/>
      <c r="Q113" s="3"/>
      <c r="R113" s="3"/>
      <c r="S113" s="2"/>
      <c r="T113" s="3"/>
      <c r="U113" s="5"/>
      <c r="V113" s="5"/>
    </row>
    <row r="114" spans="3:22" x14ac:dyDescent="0.25">
      <c r="C114" s="3"/>
      <c r="D114" s="4"/>
      <c r="E114" s="7"/>
      <c r="F114" s="7"/>
      <c r="G114" s="7"/>
      <c r="H114" s="7"/>
      <c r="J114" s="1"/>
      <c r="L114" s="1"/>
      <c r="M114" s="3"/>
      <c r="N114" s="1"/>
      <c r="O114" s="3"/>
      <c r="P114" s="3"/>
      <c r="Q114" s="3"/>
      <c r="R114" s="3"/>
      <c r="S114" s="2"/>
      <c r="T114" s="3"/>
      <c r="U114" s="5"/>
      <c r="V114" s="5"/>
    </row>
    <row r="115" spans="3:22" x14ac:dyDescent="0.25">
      <c r="C115" s="3"/>
      <c r="D115" s="4"/>
      <c r="E115" s="7"/>
      <c r="F115" s="7"/>
      <c r="G115" s="7"/>
      <c r="H115" s="7"/>
      <c r="J115" s="1"/>
      <c r="L115" s="1"/>
      <c r="M115" s="3"/>
      <c r="N115" s="1"/>
      <c r="O115" s="3"/>
      <c r="P115" s="3"/>
      <c r="Q115" s="3"/>
      <c r="R115" s="3"/>
      <c r="S115" s="2"/>
      <c r="T115" s="3"/>
      <c r="U115" s="5"/>
      <c r="V115" s="5"/>
    </row>
    <row r="116" spans="3:22" x14ac:dyDescent="0.25">
      <c r="C116" s="3"/>
      <c r="D116" s="4"/>
      <c r="E116" s="7"/>
      <c r="F116" s="7"/>
      <c r="G116" s="7"/>
      <c r="H116" s="7"/>
      <c r="J116" s="1"/>
      <c r="L116" s="1"/>
      <c r="M116" s="3"/>
      <c r="N116" s="1"/>
      <c r="O116" s="3"/>
      <c r="P116" s="3"/>
      <c r="Q116" s="3"/>
      <c r="R116" s="3"/>
      <c r="S116" s="2"/>
      <c r="T116" s="3"/>
      <c r="U116" s="5"/>
      <c r="V116" s="5"/>
    </row>
    <row r="117" spans="3:22" x14ac:dyDescent="0.25">
      <c r="C117" s="3"/>
      <c r="D117" s="4"/>
      <c r="E117" s="7"/>
      <c r="F117" s="7"/>
      <c r="G117" s="7"/>
      <c r="H117" s="7"/>
      <c r="J117" s="1"/>
      <c r="L117" s="1"/>
      <c r="M117" s="3"/>
      <c r="N117" s="1"/>
      <c r="O117" s="3"/>
      <c r="P117" s="3"/>
      <c r="Q117" s="3"/>
      <c r="R117" s="3"/>
      <c r="S117" s="2"/>
      <c r="T117" s="3"/>
      <c r="U117" s="5"/>
      <c r="V117" s="5"/>
    </row>
    <row r="118" spans="3:22" x14ac:dyDescent="0.25">
      <c r="C118" s="3"/>
      <c r="D118" s="4"/>
      <c r="E118" s="7"/>
      <c r="F118" s="7"/>
      <c r="G118" s="7"/>
      <c r="H118" s="7"/>
      <c r="J118" s="1"/>
      <c r="L118" s="1"/>
      <c r="M118" s="3"/>
      <c r="N118" s="1"/>
      <c r="O118" s="3"/>
      <c r="P118" s="3"/>
      <c r="Q118" s="3"/>
      <c r="R118" s="3"/>
      <c r="S118" s="2"/>
      <c r="T118" s="3"/>
      <c r="U118" s="5"/>
      <c r="V118" s="5"/>
    </row>
    <row r="119" spans="3:22" x14ac:dyDescent="0.25">
      <c r="C119" s="3"/>
      <c r="D119" s="4"/>
      <c r="E119" s="7"/>
      <c r="F119" s="7"/>
      <c r="G119" s="7"/>
      <c r="H119" s="7"/>
      <c r="J119" s="1"/>
      <c r="L119" s="1"/>
      <c r="M119" s="3"/>
      <c r="N119" s="1"/>
      <c r="O119" s="3"/>
      <c r="P119" s="3"/>
      <c r="Q119" s="3"/>
      <c r="R119" s="3"/>
      <c r="S119" s="2"/>
      <c r="T119" s="3"/>
      <c r="U119" s="5"/>
      <c r="V119" s="5"/>
    </row>
    <row r="120" spans="3:22" x14ac:dyDescent="0.25">
      <c r="C120" s="3"/>
      <c r="D120" s="4"/>
      <c r="E120" s="7"/>
      <c r="F120" s="7"/>
      <c r="G120" s="7"/>
      <c r="H120" s="7"/>
      <c r="J120" s="1"/>
      <c r="L120" s="1"/>
      <c r="M120" s="3"/>
      <c r="N120" s="1"/>
      <c r="O120" s="3"/>
      <c r="P120" s="3"/>
      <c r="Q120" s="3"/>
      <c r="R120" s="3"/>
      <c r="S120" s="2"/>
      <c r="T120" s="3"/>
      <c r="U120" s="5"/>
      <c r="V120" s="5"/>
    </row>
    <row r="121" spans="3:22" x14ac:dyDescent="0.25">
      <c r="C121" s="3"/>
      <c r="D121" s="4"/>
      <c r="E121" s="7"/>
      <c r="F121" s="7"/>
      <c r="G121" s="7"/>
      <c r="H121" s="7"/>
      <c r="J121" s="1"/>
      <c r="L121" s="1"/>
      <c r="M121" s="3"/>
      <c r="N121" s="1"/>
      <c r="O121" s="3"/>
      <c r="P121" s="3"/>
      <c r="Q121" s="3"/>
      <c r="R121" s="3"/>
      <c r="S121" s="2"/>
      <c r="T121" s="3"/>
      <c r="U121" s="5"/>
      <c r="V121" s="5"/>
    </row>
    <row r="122" spans="3:22" x14ac:dyDescent="0.25">
      <c r="C122" s="3"/>
      <c r="D122" s="4"/>
      <c r="E122" s="7"/>
      <c r="F122" s="7"/>
      <c r="G122" s="7"/>
      <c r="H122" s="7"/>
      <c r="J122" s="1"/>
      <c r="L122" s="1"/>
      <c r="M122" s="3"/>
      <c r="N122" s="1"/>
      <c r="O122" s="3"/>
      <c r="P122" s="3"/>
      <c r="Q122" s="3"/>
      <c r="R122" s="3"/>
      <c r="S122" s="2"/>
      <c r="T122" s="3"/>
      <c r="U122" s="5"/>
      <c r="V122" s="5"/>
    </row>
    <row r="123" spans="3:22" x14ac:dyDescent="0.25">
      <c r="C123" s="3"/>
      <c r="D123" s="4"/>
      <c r="E123" s="7"/>
      <c r="F123" s="7"/>
      <c r="G123" s="7"/>
      <c r="H123" s="7"/>
      <c r="J123" s="1"/>
      <c r="L123" s="1"/>
      <c r="M123" s="3"/>
      <c r="N123" s="1"/>
      <c r="O123" s="3"/>
      <c r="P123" s="3"/>
      <c r="Q123" s="3"/>
      <c r="R123" s="3"/>
      <c r="S123" s="2"/>
      <c r="T123" s="3"/>
      <c r="U123" s="5"/>
      <c r="V123" s="5"/>
    </row>
  </sheetData>
  <conditionalFormatting sqref="D73:M73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dataValidations count="3">
    <dataValidation type="list" allowBlank="1" showInputMessage="1" showErrorMessage="1" sqref="E3" xr:uid="{EF3E0013-DAC3-4204-B044-657214DEABEC}">
      <formula1>"1, 2, 3"</formula1>
    </dataValidation>
    <dataValidation type="list" allowBlank="1" showInputMessage="1" showErrorMessage="1" sqref="E4" xr:uid="{C10F128E-A061-44A2-A284-6A1A20DBD13B}">
      <formula1>"1, 2, 3, 4"</formula1>
    </dataValidation>
    <dataValidation type="list" allowBlank="1" showInputMessage="1" showErrorMessage="1" sqref="E2" xr:uid="{15010099-988A-4EA7-BA1E-F50F0B0D6D04}">
      <formula1>"1,2,4,6,8"</formula1>
    </dataValidation>
  </dataValidations>
  <pageMargins left="0.7" right="0.7" top="0.75" bottom="0.75" header="0.3" footer="0.3"/>
  <pageSetup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852452C4-2484-453E-897E-6C9CDE3206A4}">
          <x14:formula1>
            <xm:f>Components!$C$20:$C$29</xm:f>
          </x14:formula1>
          <xm:sqref>B3:B4</xm:sqref>
        </x14:dataValidation>
        <x14:dataValidation type="list" allowBlank="1" showInputMessage="1" showErrorMessage="1" xr:uid="{9ACFAE65-2B44-46D0-AEBC-C1A92DD8DF67}">
          <x14:formula1>
            <xm:f>'Operating Current'!$B$17</xm:f>
          </x14:formula1>
          <xm:sqref>B8</xm:sqref>
        </x14:dataValidation>
        <x14:dataValidation type="list" allowBlank="1" showInputMessage="1" showErrorMessage="1" xr:uid="{2CF3648E-83EA-4FF2-9266-AFCA4C0BE6CD}">
          <x14:formula1>
            <xm:f>Components!$C$5:$C$10</xm:f>
          </x14:formula1>
          <xm:sqref>B2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E664DC-2BB8-48DD-B695-E4C16BBAC2BF}">
  <dimension ref="B3:S14"/>
  <sheetViews>
    <sheetView workbookViewId="0">
      <selection activeCell="F9" sqref="F9"/>
    </sheetView>
  </sheetViews>
  <sheetFormatPr defaultRowHeight="15" x14ac:dyDescent="0.25"/>
  <cols>
    <col min="1" max="1" width="3.7109375" customWidth="1"/>
    <col min="2" max="2" width="14" customWidth="1"/>
    <col min="3" max="3" width="25" customWidth="1"/>
    <col min="4" max="4" width="9.85546875" customWidth="1"/>
    <col min="5" max="5" width="11.7109375" customWidth="1"/>
    <col min="6" max="6" width="14" customWidth="1"/>
    <col min="7" max="7" width="15.7109375" customWidth="1"/>
    <col min="8" max="8" width="16.5703125" customWidth="1"/>
    <col min="9" max="9" width="16" customWidth="1"/>
    <col min="10" max="11" width="14.85546875" customWidth="1"/>
    <col min="12" max="12" width="5" customWidth="1"/>
    <col min="14" max="15" width="18.42578125" customWidth="1"/>
    <col min="16" max="16" width="17.85546875" customWidth="1"/>
    <col min="17" max="17" width="17.28515625" customWidth="1"/>
    <col min="18" max="18" width="18.140625" customWidth="1"/>
    <col min="19" max="19" width="16.28515625" customWidth="1"/>
  </cols>
  <sheetData>
    <row r="3" spans="2:19" x14ac:dyDescent="0.25">
      <c r="B3" t="s">
        <v>86</v>
      </c>
    </row>
    <row r="4" spans="2:19" ht="45" x14ac:dyDescent="0.25">
      <c r="B4" t="s">
        <v>87</v>
      </c>
      <c r="C4" t="s">
        <v>92</v>
      </c>
      <c r="D4" s="6" t="s">
        <v>88</v>
      </c>
      <c r="E4" t="s">
        <v>89</v>
      </c>
      <c r="F4" s="6" t="s">
        <v>100</v>
      </c>
      <c r="G4" s="6" t="s">
        <v>93</v>
      </c>
      <c r="H4" s="6" t="s">
        <v>94</v>
      </c>
      <c r="I4" s="6" t="s">
        <v>95</v>
      </c>
      <c r="J4" s="6" t="s">
        <v>110</v>
      </c>
      <c r="L4" s="6"/>
      <c r="M4" s="11" t="s">
        <v>101</v>
      </c>
      <c r="N4" s="10" t="s">
        <v>112</v>
      </c>
      <c r="O4" s="10" t="s">
        <v>113</v>
      </c>
      <c r="P4" s="10" t="s">
        <v>114</v>
      </c>
      <c r="Q4" s="10" t="s">
        <v>132</v>
      </c>
      <c r="R4" s="10" t="s">
        <v>130</v>
      </c>
      <c r="S4" s="10"/>
    </row>
    <row r="5" spans="2:19" x14ac:dyDescent="0.25">
      <c r="B5" t="s">
        <v>134</v>
      </c>
      <c r="C5" t="s">
        <v>112</v>
      </c>
      <c r="D5">
        <v>0.82</v>
      </c>
      <c r="E5">
        <v>7.7</v>
      </c>
      <c r="F5">
        <v>8</v>
      </c>
      <c r="G5">
        <v>15</v>
      </c>
      <c r="H5">
        <v>25</v>
      </c>
      <c r="I5">
        <v>31</v>
      </c>
      <c r="J5" s="3">
        <f>-0.000005*(Efficiency!B8)^2+0.0394*(Efficiency!B8)-3.4052</f>
        <v>15.044799999999999</v>
      </c>
      <c r="M5" s="10">
        <v>300</v>
      </c>
      <c r="N5" s="10">
        <v>8</v>
      </c>
      <c r="O5" s="10">
        <v>20</v>
      </c>
      <c r="P5" s="10">
        <v>22</v>
      </c>
      <c r="Q5" s="10">
        <v>12</v>
      </c>
      <c r="R5" s="10">
        <v>16</v>
      </c>
    </row>
    <row r="6" spans="2:19" x14ac:dyDescent="0.25">
      <c r="B6" t="s">
        <v>134</v>
      </c>
      <c r="C6" t="s">
        <v>113</v>
      </c>
      <c r="D6">
        <v>4.7</v>
      </c>
      <c r="E6">
        <v>19.600000000000001</v>
      </c>
      <c r="F6">
        <v>20</v>
      </c>
      <c r="G6">
        <v>33</v>
      </c>
      <c r="H6">
        <v>38</v>
      </c>
      <c r="I6">
        <v>42</v>
      </c>
      <c r="J6" s="3">
        <f>-0.00004*(Efficiency!B8)^2+0.0876*(Efficiency!B8)-1.44</f>
        <v>32.36</v>
      </c>
      <c r="M6" s="10">
        <v>500</v>
      </c>
      <c r="N6" s="10">
        <v>15</v>
      </c>
      <c r="O6" s="10">
        <v>33</v>
      </c>
      <c r="P6" s="10">
        <v>36</v>
      </c>
      <c r="Q6" s="10">
        <v>14</v>
      </c>
      <c r="R6" s="10">
        <v>19</v>
      </c>
    </row>
    <row r="7" spans="2:19" x14ac:dyDescent="0.25">
      <c r="B7" t="s">
        <v>134</v>
      </c>
      <c r="C7" t="s">
        <v>114</v>
      </c>
      <c r="D7">
        <v>5.6</v>
      </c>
      <c r="E7">
        <v>22.6</v>
      </c>
      <c r="F7">
        <f>P5</f>
        <v>22</v>
      </c>
      <c r="G7">
        <f>P6</f>
        <v>36</v>
      </c>
      <c r="H7">
        <f>P7</f>
        <v>47</v>
      </c>
      <c r="I7">
        <f>P8</f>
        <v>54</v>
      </c>
      <c r="J7" s="3">
        <f>-0.00003*(Efficiency!B8)^2+0.09*(Efficiency!B8)-1.3017</f>
        <v>36.198300000000003</v>
      </c>
      <c r="M7" s="10">
        <v>800</v>
      </c>
      <c r="N7" s="10">
        <v>25</v>
      </c>
      <c r="O7" s="10">
        <v>38</v>
      </c>
      <c r="P7" s="10">
        <v>47</v>
      </c>
      <c r="Q7" s="10">
        <v>16</v>
      </c>
      <c r="R7" s="10">
        <v>33</v>
      </c>
    </row>
    <row r="8" spans="2:19" x14ac:dyDescent="0.25">
      <c r="B8" t="s">
        <v>135</v>
      </c>
      <c r="C8" t="s">
        <v>131</v>
      </c>
      <c r="D8">
        <v>6.8</v>
      </c>
      <c r="E8">
        <v>26.8</v>
      </c>
      <c r="F8">
        <v>108</v>
      </c>
      <c r="G8">
        <v>150</v>
      </c>
      <c r="H8">
        <v>220</v>
      </c>
      <c r="I8">
        <v>267</v>
      </c>
      <c r="J8" s="3">
        <f>0.0083*(Efficiency!B8)+9.6207</f>
        <v>13.7707</v>
      </c>
      <c r="M8" s="10">
        <v>1000</v>
      </c>
      <c r="N8" s="10">
        <v>31</v>
      </c>
      <c r="O8" s="10">
        <v>42</v>
      </c>
      <c r="P8" s="10">
        <v>54</v>
      </c>
      <c r="Q8" s="10">
        <v>18</v>
      </c>
      <c r="R8" s="10">
        <v>41</v>
      </c>
    </row>
    <row r="9" spans="2:19" x14ac:dyDescent="0.25">
      <c r="B9" t="s">
        <v>135</v>
      </c>
      <c r="C9" t="s">
        <v>130</v>
      </c>
      <c r="D9">
        <v>15</v>
      </c>
      <c r="E9">
        <v>69.7</v>
      </c>
      <c r="F9">
        <v>16</v>
      </c>
      <c r="G9">
        <v>19</v>
      </c>
      <c r="H9">
        <v>33</v>
      </c>
      <c r="I9">
        <v>41</v>
      </c>
      <c r="J9" s="3">
        <f>0.00003*(Efficiency!B8)^2+0.0049*(Efficiency!B8)+11.681</f>
        <v>21.631</v>
      </c>
      <c r="M9" s="10"/>
      <c r="N9" s="10"/>
      <c r="O9" s="10"/>
      <c r="P9" s="10"/>
      <c r="Q9" s="10"/>
    </row>
    <row r="10" spans="2:19" x14ac:dyDescent="0.25">
      <c r="B10" t="s">
        <v>91</v>
      </c>
      <c r="J10" s="3"/>
      <c r="M10" s="10"/>
      <c r="N10" s="10"/>
      <c r="O10" s="10"/>
      <c r="P10" s="10"/>
      <c r="Q10" s="10"/>
    </row>
    <row r="12" spans="2:19" x14ac:dyDescent="0.25">
      <c r="B12" t="s">
        <v>115</v>
      </c>
    </row>
    <row r="13" spans="2:19" x14ac:dyDescent="0.25">
      <c r="B13" t="s">
        <v>133</v>
      </c>
    </row>
    <row r="14" spans="2:19" x14ac:dyDescent="0.25">
      <c r="B14" t="s">
        <v>111</v>
      </c>
    </row>
  </sheetData>
  <pageMargins left="0.7" right="0.7" top="0.75" bottom="0.75" header="0.3" footer="0.3"/>
  <pageSetup orientation="portrait" horizontalDpi="1200" verticalDpi="12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E5FD0-9198-43C2-81A2-4D49DE5C9E73}">
  <dimension ref="B5:E27"/>
  <sheetViews>
    <sheetView workbookViewId="0">
      <selection activeCell="H23" sqref="H23"/>
    </sheetView>
  </sheetViews>
  <sheetFormatPr defaultRowHeight="15" x14ac:dyDescent="0.25"/>
  <cols>
    <col min="2" max="2" width="10.5703125" customWidth="1"/>
    <col min="3" max="5" width="12.140625" customWidth="1"/>
  </cols>
  <sheetData>
    <row r="5" spans="2:5" x14ac:dyDescent="0.25">
      <c r="B5" s="18"/>
      <c r="C5" s="26" t="s">
        <v>121</v>
      </c>
      <c r="D5" s="27"/>
      <c r="E5" s="28"/>
    </row>
    <row r="6" spans="2:5" x14ac:dyDescent="0.25">
      <c r="B6" s="18" t="s">
        <v>120</v>
      </c>
      <c r="C6" s="18" t="s">
        <v>122</v>
      </c>
      <c r="D6" s="18" t="s">
        <v>123</v>
      </c>
      <c r="E6" s="18" t="s">
        <v>124</v>
      </c>
    </row>
    <row r="7" spans="2:5" x14ac:dyDescent="0.25">
      <c r="B7" s="18">
        <v>300</v>
      </c>
      <c r="C7" s="18"/>
      <c r="D7" s="18"/>
      <c r="E7" s="18"/>
    </row>
    <row r="8" spans="2:5" x14ac:dyDescent="0.25">
      <c r="B8" s="18">
        <v>500</v>
      </c>
      <c r="C8" s="18">
        <v>4.0999999999999996</v>
      </c>
      <c r="D8" s="18">
        <v>8.3000000000000007</v>
      </c>
      <c r="E8" s="18">
        <v>9.8000000000000007</v>
      </c>
    </row>
    <row r="9" spans="2:5" x14ac:dyDescent="0.25">
      <c r="B9" s="18">
        <v>1000</v>
      </c>
      <c r="C9" s="18"/>
      <c r="D9" s="18"/>
      <c r="E9" s="18"/>
    </row>
    <row r="11" spans="2:5" x14ac:dyDescent="0.25">
      <c r="C11" s="26" t="s">
        <v>121</v>
      </c>
      <c r="D11" s="27"/>
      <c r="E11" s="28"/>
    </row>
    <row r="12" spans="2:5" x14ac:dyDescent="0.25">
      <c r="C12" s="21" t="s">
        <v>122</v>
      </c>
      <c r="D12" s="21" t="s">
        <v>123</v>
      </c>
      <c r="E12" s="21" t="s">
        <v>124</v>
      </c>
    </row>
    <row r="13" spans="2:5" x14ac:dyDescent="0.25">
      <c r="B13" s="18">
        <v>300</v>
      </c>
      <c r="C13" s="22"/>
      <c r="D13" s="22"/>
      <c r="E13" s="22"/>
    </row>
    <row r="14" spans="2:5" x14ac:dyDescent="0.25">
      <c r="B14" s="18">
        <v>350</v>
      </c>
      <c r="C14" s="22"/>
      <c r="D14" s="22"/>
      <c r="E14" s="22"/>
    </row>
    <row r="15" spans="2:5" x14ac:dyDescent="0.25">
      <c r="B15" s="18">
        <v>400</v>
      </c>
      <c r="C15" s="22"/>
      <c r="D15" s="22"/>
      <c r="E15" s="22"/>
    </row>
    <row r="16" spans="2:5" x14ac:dyDescent="0.25">
      <c r="B16" s="18">
        <v>450</v>
      </c>
      <c r="C16" s="22"/>
      <c r="D16" s="22"/>
      <c r="E16" s="22"/>
    </row>
    <row r="17" spans="2:5" x14ac:dyDescent="0.25">
      <c r="B17" s="18">
        <v>500</v>
      </c>
      <c r="C17" s="18">
        <v>4.0999999999999996</v>
      </c>
      <c r="D17" s="18">
        <v>8.3000000000000007</v>
      </c>
      <c r="E17" s="18">
        <v>9.8000000000000007</v>
      </c>
    </row>
    <row r="18" spans="2:5" x14ac:dyDescent="0.25">
      <c r="B18" s="18">
        <v>550</v>
      </c>
      <c r="C18" s="22"/>
      <c r="D18" s="22"/>
      <c r="E18" s="22"/>
    </row>
    <row r="19" spans="2:5" x14ac:dyDescent="0.25">
      <c r="B19" s="18">
        <v>600</v>
      </c>
      <c r="C19" s="22"/>
      <c r="D19" s="22"/>
      <c r="E19" s="22"/>
    </row>
    <row r="20" spans="2:5" x14ac:dyDescent="0.25">
      <c r="B20" s="18">
        <v>650</v>
      </c>
      <c r="C20" s="22"/>
      <c r="D20" s="22"/>
      <c r="E20" s="22"/>
    </row>
    <row r="21" spans="2:5" x14ac:dyDescent="0.25">
      <c r="B21" s="18">
        <v>700</v>
      </c>
      <c r="C21" s="22"/>
      <c r="D21" s="22"/>
      <c r="E21" s="22"/>
    </row>
    <row r="22" spans="2:5" x14ac:dyDescent="0.25">
      <c r="B22" s="18">
        <v>750</v>
      </c>
      <c r="C22" s="22"/>
      <c r="D22" s="22"/>
      <c r="E22" s="22"/>
    </row>
    <row r="23" spans="2:5" x14ac:dyDescent="0.25">
      <c r="B23" s="18">
        <v>800</v>
      </c>
      <c r="C23" s="22"/>
      <c r="D23" s="22"/>
      <c r="E23" s="22"/>
    </row>
    <row r="24" spans="2:5" x14ac:dyDescent="0.25">
      <c r="B24" s="18">
        <v>850</v>
      </c>
      <c r="C24" s="22"/>
      <c r="D24" s="22"/>
      <c r="E24" s="22"/>
    </row>
    <row r="25" spans="2:5" x14ac:dyDescent="0.25">
      <c r="B25" s="18">
        <v>900</v>
      </c>
      <c r="C25" s="22"/>
      <c r="D25" s="22"/>
      <c r="E25" s="22"/>
    </row>
    <row r="26" spans="2:5" x14ac:dyDescent="0.25">
      <c r="B26" s="18">
        <v>950</v>
      </c>
      <c r="C26" s="22"/>
      <c r="D26" s="22"/>
      <c r="E26" s="22"/>
    </row>
    <row r="27" spans="2:5" x14ac:dyDescent="0.25">
      <c r="B27" s="18">
        <v>1000</v>
      </c>
      <c r="C27" s="22"/>
      <c r="D27" s="22"/>
      <c r="E27" s="22"/>
    </row>
  </sheetData>
  <mergeCells count="2">
    <mergeCell ref="C11:E11"/>
    <mergeCell ref="C5:E5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01D2BE-DC9C-4A03-976C-63C555E62F4E}">
  <dimension ref="B2:D3"/>
  <sheetViews>
    <sheetView workbookViewId="0">
      <selection activeCell="C4" sqref="C4"/>
    </sheetView>
  </sheetViews>
  <sheetFormatPr defaultRowHeight="15" x14ac:dyDescent="0.25"/>
  <cols>
    <col min="3" max="3" width="12.7109375" customWidth="1"/>
    <col min="4" max="4" width="26.42578125" customWidth="1"/>
  </cols>
  <sheetData>
    <row r="2" spans="2:4" x14ac:dyDescent="0.25">
      <c r="B2" s="18" t="s">
        <v>116</v>
      </c>
      <c r="C2" s="18" t="s">
        <v>117</v>
      </c>
      <c r="D2" s="19" t="s">
        <v>118</v>
      </c>
    </row>
    <row r="3" spans="2:4" ht="30" x14ac:dyDescent="0.25">
      <c r="B3" s="18">
        <v>0.1</v>
      </c>
      <c r="C3" s="20">
        <v>45513</v>
      </c>
      <c r="D3" s="19" t="s">
        <v>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Reference</vt:lpstr>
      <vt:lpstr>Efficiency</vt:lpstr>
      <vt:lpstr>Components</vt:lpstr>
      <vt:lpstr>Operating Current</vt:lpstr>
      <vt:lpstr>Rev History</vt:lpstr>
    </vt:vector>
  </TitlesOfParts>
  <Company>Renesas Electronics America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 Lok</dc:creator>
  <cp:lastModifiedBy>Tim Lok</cp:lastModifiedBy>
  <dcterms:created xsi:type="dcterms:W3CDTF">2020-01-07T21:05:55Z</dcterms:created>
  <dcterms:modified xsi:type="dcterms:W3CDTF">2024-08-12T14:22:32Z</dcterms:modified>
</cp:coreProperties>
</file>