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a5126966\Documents\PartFiles\ISL73006-07\"/>
    </mc:Choice>
  </mc:AlternateContent>
  <xr:revisionPtr revIDLastSave="0" documentId="13_ncr:1_{33B95D0C-09FD-4369-A4C2-9ACC929BE783}" xr6:coauthVersionLast="47" xr6:coauthVersionMax="47" xr10:uidLastSave="{00000000-0000-0000-0000-000000000000}"/>
  <bookViews>
    <workbookView xWindow="15660" yWindow="5110" windowWidth="21330" windowHeight="15370" xr2:uid="{C83849C9-521A-4ACE-A58A-0F0839FA5C03}"/>
  </bookViews>
  <sheets>
    <sheet name="Main" sheetId="1" r:id="rId1"/>
    <sheet name="DS Parameters" sheetId="5" r:id="rId2"/>
    <sheet name="COUT Network Design" sheetId="3" r:id="rId3"/>
    <sheet name="CIN Network Design" sheetId="4" r:id="rId4"/>
    <sheet name="Common Components" sheetId="2" r:id="rId5"/>
    <sheet name="1% resistor table" sheetId="6" r:id="rId6"/>
    <sheet name="Revision History" sheetId="7" r:id="rId7"/>
  </sheets>
  <definedNames>
    <definedName name="CCOMP_MIN">#REF!</definedName>
    <definedName name="CDROOP">#REF!</definedName>
    <definedName name="COUT_MIN">#REF!</definedName>
    <definedName name="COUT_QTY">#REF!</definedName>
    <definedName name="COUT_ZERO">#REF!</definedName>
    <definedName name="CPOLE_MIN">#REF!</definedName>
    <definedName name="ESR_EQUIV">#REF!</definedName>
    <definedName name="Fstart">#REF!</definedName>
    <definedName name="ft">#REF!</definedName>
    <definedName name="Loop_Gain_Totalpoints">#REF!</definedName>
    <definedName name="RCOMP">#REF!</definedName>
    <definedName name="RDROOP">#REF!</definedName>
    <definedName name="Ripple_percent">#REF!</definedName>
    <definedName name="RSEN">#REF!</definedName>
    <definedName name="RSLOPE">#REF!</definedName>
    <definedName name="Ste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1" i="1" l="1"/>
  <c r="H8" i="1"/>
  <c r="C7" i="3"/>
  <c r="C23" i="1"/>
  <c r="C24" i="1"/>
  <c r="C20" i="1"/>
  <c r="C18" i="1"/>
  <c r="C6" i="1"/>
  <c r="C33" i="5"/>
  <c r="C34" i="5" s="1"/>
  <c r="C36" i="5" l="1"/>
  <c r="C37" i="5" s="1"/>
  <c r="C17" i="1" s="1"/>
  <c r="C12" i="1" l="1"/>
  <c r="C14" i="1" s="1"/>
  <c r="C13" i="4" l="1"/>
  <c r="C13" i="1"/>
  <c r="G17" i="1"/>
  <c r="I42" i="3" l="1"/>
  <c r="I57" i="4"/>
  <c r="J57" i="4"/>
  <c r="AF56" i="4"/>
  <c r="AG56" i="4"/>
  <c r="AH56" i="4"/>
  <c r="AI56" i="4"/>
  <c r="AF57" i="4"/>
  <c r="AG57" i="4"/>
  <c r="AH57" i="4"/>
  <c r="AI57" i="4"/>
  <c r="AF58" i="4"/>
  <c r="AG58" i="4"/>
  <c r="AH58" i="4"/>
  <c r="AI58" i="4"/>
  <c r="AC58" i="4"/>
  <c r="AB58" i="4"/>
  <c r="AA58" i="4"/>
  <c r="AC57" i="4"/>
  <c r="AB57" i="4"/>
  <c r="AA57" i="4"/>
  <c r="AC56" i="4"/>
  <c r="AB56" i="4"/>
  <c r="AA56" i="4"/>
  <c r="X56" i="4"/>
  <c r="X57" i="4"/>
  <c r="W56" i="4"/>
  <c r="W57" i="4"/>
  <c r="W58" i="4"/>
  <c r="V56" i="4"/>
  <c r="V57" i="4"/>
  <c r="V58" i="4"/>
  <c r="T89" i="4"/>
  <c r="T88" i="4"/>
  <c r="AD58" i="4" l="1"/>
  <c r="AD57" i="4"/>
  <c r="Y57" i="4"/>
  <c r="S57" i="4" s="1" a="1"/>
  <c r="S57" i="4" s="1"/>
  <c r="Y56" i="4"/>
  <c r="AD56" i="4"/>
  <c r="C35" i="1"/>
  <c r="S56" i="4" l="1" a="1"/>
  <c r="S56" i="4" s="1"/>
  <c r="D24" i="5" l="1"/>
  <c r="D28" i="5"/>
  <c r="D29" i="5"/>
  <c r="D27" i="5"/>
  <c r="D26" i="5"/>
  <c r="D25" i="5"/>
  <c r="G34" i="1" s="1"/>
  <c r="G36" i="1" l="1"/>
  <c r="C40" i="3"/>
  <c r="S7" i="3"/>
  <c r="T7" i="3"/>
  <c r="C13" i="3"/>
  <c r="G19" i="1"/>
  <c r="H20" i="1" s="1"/>
  <c r="C14" i="3" l="1"/>
  <c r="C26" i="1"/>
  <c r="C36" i="1" l="1"/>
  <c r="G20" i="1"/>
  <c r="C5" i="3" s="1"/>
  <c r="C6" i="3"/>
  <c r="C30" i="1"/>
  <c r="G11" i="1"/>
  <c r="C27" i="1"/>
  <c r="C7" i="4"/>
  <c r="AH10" i="3"/>
  <c r="K44" i="4"/>
  <c r="K45" i="4"/>
  <c r="J44" i="4"/>
  <c r="J45" i="4"/>
  <c r="K43" i="4"/>
  <c r="J43" i="4"/>
  <c r="I44" i="4"/>
  <c r="I45" i="4"/>
  <c r="I43" i="4"/>
  <c r="K30" i="3"/>
  <c r="K31" i="3"/>
  <c r="K29" i="3"/>
  <c r="I30" i="3"/>
  <c r="I31" i="3"/>
  <c r="I29" i="3"/>
  <c r="J30" i="3"/>
  <c r="J31" i="3"/>
  <c r="J29" i="3"/>
  <c r="C41" i="3"/>
  <c r="C15" i="3"/>
  <c r="C28" i="3"/>
  <c r="C25" i="3"/>
  <c r="C38" i="3"/>
  <c r="C11" i="4"/>
  <c r="C10" i="4"/>
  <c r="AB24" i="2"/>
  <c r="AC24" i="2" s="1"/>
  <c r="AD24" i="2" s="1"/>
  <c r="AE24" i="2" s="1"/>
  <c r="AF24" i="2" s="1"/>
  <c r="AG24" i="2" s="1"/>
  <c r="AB20" i="2"/>
  <c r="AC20" i="2" s="1"/>
  <c r="AD20" i="2" s="1"/>
  <c r="AE20" i="2" s="1"/>
  <c r="AF20" i="2" s="1"/>
  <c r="AG20" i="2" s="1"/>
  <c r="AB15" i="2"/>
  <c r="AC15" i="2" s="1"/>
  <c r="AD15" i="2" s="1"/>
  <c r="AE15" i="2" s="1"/>
  <c r="AF15" i="2" s="1"/>
  <c r="AG15" i="2" s="1"/>
  <c r="AB11" i="2"/>
  <c r="AC11" i="2" s="1"/>
  <c r="AD11" i="2" s="1"/>
  <c r="AE11" i="2" s="1"/>
  <c r="AF11" i="2" s="1"/>
  <c r="AG11" i="2" s="1"/>
  <c r="AB7" i="2"/>
  <c r="AC7" i="2" s="1"/>
  <c r="AD7" i="2" s="1"/>
  <c r="AE7" i="2" s="1"/>
  <c r="AF7" i="2" s="1"/>
  <c r="AG7" i="2" s="1"/>
  <c r="X8" i="2"/>
  <c r="Y8" i="2" s="1"/>
  <c r="Z8" i="2" s="1"/>
  <c r="X9" i="2"/>
  <c r="Y9" i="2" s="1"/>
  <c r="Z9" i="2" s="1"/>
  <c r="X10" i="2"/>
  <c r="Y10" i="2" s="1"/>
  <c r="Z10" i="2" s="1"/>
  <c r="X11" i="2"/>
  <c r="Y11" i="2" s="1"/>
  <c r="Z11" i="2" s="1"/>
  <c r="X12" i="2"/>
  <c r="Y12" i="2" s="1"/>
  <c r="Z12" i="2" s="1"/>
  <c r="X13" i="2"/>
  <c r="Y13" i="2" s="1"/>
  <c r="Z13" i="2" s="1"/>
  <c r="X14" i="2"/>
  <c r="Y14" i="2" s="1"/>
  <c r="Z14" i="2" s="1"/>
  <c r="X15" i="2"/>
  <c r="Y15" i="2" s="1"/>
  <c r="Z15" i="2" s="1"/>
  <c r="X16" i="2"/>
  <c r="Y16" i="2" s="1"/>
  <c r="Z16" i="2" s="1"/>
  <c r="X17" i="2"/>
  <c r="Y17" i="2" s="1"/>
  <c r="Z17" i="2" s="1"/>
  <c r="X18" i="2"/>
  <c r="Y18" i="2" s="1"/>
  <c r="Z18" i="2" s="1"/>
  <c r="X19" i="2"/>
  <c r="Y19" i="2" s="1"/>
  <c r="Z19" i="2" s="1"/>
  <c r="X20" i="2"/>
  <c r="Y20" i="2" s="1"/>
  <c r="Z20" i="2" s="1"/>
  <c r="X21" i="2"/>
  <c r="Y21" i="2" s="1"/>
  <c r="Z21" i="2" s="1"/>
  <c r="X22" i="2"/>
  <c r="Y22" i="2" s="1"/>
  <c r="Z22" i="2" s="1"/>
  <c r="X23" i="2"/>
  <c r="Y23" i="2" s="1"/>
  <c r="Z23" i="2" s="1"/>
  <c r="X24" i="2"/>
  <c r="Y24" i="2" s="1"/>
  <c r="Z24" i="2" s="1"/>
  <c r="X25" i="2"/>
  <c r="Y25" i="2" s="1"/>
  <c r="Z25" i="2" s="1"/>
  <c r="X26" i="2"/>
  <c r="Y26" i="2" s="1"/>
  <c r="Z26" i="2" s="1"/>
  <c r="X27" i="2"/>
  <c r="Y27" i="2" s="1"/>
  <c r="Z27" i="2" s="1"/>
  <c r="X28" i="2"/>
  <c r="Y28" i="2" s="1"/>
  <c r="Z28" i="2" s="1"/>
  <c r="X29" i="2"/>
  <c r="Y29" i="2" s="1"/>
  <c r="Z29" i="2" s="1"/>
  <c r="X30" i="2"/>
  <c r="Y30" i="2" s="1"/>
  <c r="Z30" i="2" s="1"/>
  <c r="X31" i="2"/>
  <c r="Y31" i="2" s="1"/>
  <c r="Z31" i="2" s="1"/>
  <c r="X7" i="2"/>
  <c r="Y7" i="2" s="1"/>
  <c r="Z7" i="2" s="1"/>
  <c r="C9" i="4"/>
  <c r="C12" i="4"/>
  <c r="AK6" i="4" s="1"/>
  <c r="C33" i="1" l="1"/>
  <c r="C34" i="1" s="1"/>
  <c r="C16" i="4"/>
  <c r="G21" i="1"/>
  <c r="C3" i="3" s="1"/>
  <c r="C8" i="4"/>
  <c r="C18" i="4" s="1"/>
  <c r="X7" i="4"/>
  <c r="C26" i="4"/>
  <c r="C4" i="3"/>
  <c r="AH7" i="3" s="1"/>
  <c r="I32" i="3"/>
  <c r="I46" i="4"/>
  <c r="K32" i="3"/>
  <c r="J32" i="3"/>
  <c r="K46" i="4"/>
  <c r="V37" i="4"/>
  <c r="X60" i="4"/>
  <c r="W49" i="4"/>
  <c r="V78" i="4"/>
  <c r="W28" i="4"/>
  <c r="V17" i="4"/>
  <c r="W82" i="4"/>
  <c r="W71" i="4"/>
  <c r="V75" i="4"/>
  <c r="V55" i="4"/>
  <c r="V34" i="4"/>
  <c r="V14" i="4"/>
  <c r="W81" i="4"/>
  <c r="X70" i="4"/>
  <c r="W60" i="4"/>
  <c r="W48" i="4"/>
  <c r="X26" i="4"/>
  <c r="V74" i="4"/>
  <c r="V53" i="4"/>
  <c r="V33" i="4"/>
  <c r="V13" i="4"/>
  <c r="W80" i="4"/>
  <c r="W69" i="4"/>
  <c r="X58" i="4"/>
  <c r="Y58" i="4" s="1"/>
  <c r="W44" i="4"/>
  <c r="X22" i="4"/>
  <c r="V71" i="4"/>
  <c r="V51" i="4"/>
  <c r="V30" i="4"/>
  <c r="V7" i="4"/>
  <c r="W78" i="4"/>
  <c r="W67" i="4"/>
  <c r="X42" i="4"/>
  <c r="W21" i="4"/>
  <c r="V6" i="4"/>
  <c r="V67" i="4"/>
  <c r="V47" i="4"/>
  <c r="V26" i="4"/>
  <c r="W87" i="4"/>
  <c r="X76" i="4"/>
  <c r="W66" i="4"/>
  <c r="W55" i="4"/>
  <c r="X38" i="4"/>
  <c r="W17" i="4"/>
  <c r="V85" i="4"/>
  <c r="V66" i="4"/>
  <c r="V44" i="4"/>
  <c r="V24" i="4"/>
  <c r="X86" i="4"/>
  <c r="W76" i="4"/>
  <c r="W65" i="4"/>
  <c r="X54" i="4"/>
  <c r="W37" i="4"/>
  <c r="W16" i="4"/>
  <c r="V84" i="4"/>
  <c r="V64" i="4"/>
  <c r="V43" i="4"/>
  <c r="V22" i="4"/>
  <c r="W85" i="4"/>
  <c r="X74" i="4"/>
  <c r="W64" i="4"/>
  <c r="W53" i="4"/>
  <c r="W33" i="4"/>
  <c r="W12" i="4"/>
  <c r="V82" i="4"/>
  <c r="V62" i="4"/>
  <c r="V41" i="4"/>
  <c r="V20" i="4"/>
  <c r="W83" i="4"/>
  <c r="X72" i="4"/>
  <c r="W62" i="4"/>
  <c r="W51" i="4"/>
  <c r="W32" i="4"/>
  <c r="X10" i="4"/>
  <c r="V73" i="4"/>
  <c r="V63" i="4"/>
  <c r="V52" i="4"/>
  <c r="V42" i="4"/>
  <c r="V32" i="4"/>
  <c r="V21" i="4"/>
  <c r="V11" i="4"/>
  <c r="W86" i="4"/>
  <c r="X80" i="4"/>
  <c r="W75" i="4"/>
  <c r="W70" i="4"/>
  <c r="X64" i="4"/>
  <c r="W59" i="4"/>
  <c r="W54" i="4"/>
  <c r="X48" i="4"/>
  <c r="W43" i="4"/>
  <c r="W38" i="4"/>
  <c r="X32" i="4"/>
  <c r="W27" i="4"/>
  <c r="W22" i="4"/>
  <c r="X16" i="4"/>
  <c r="W11" i="4"/>
  <c r="V81" i="4"/>
  <c r="V70" i="4"/>
  <c r="V60" i="4"/>
  <c r="V49" i="4"/>
  <c r="V40" i="4"/>
  <c r="V29" i="4"/>
  <c r="V10" i="4"/>
  <c r="X84" i="4"/>
  <c r="W79" i="4"/>
  <c r="W74" i="4"/>
  <c r="X68" i="4"/>
  <c r="W63" i="4"/>
  <c r="X52" i="4"/>
  <c r="W47" i="4"/>
  <c r="W42" i="4"/>
  <c r="X36" i="4"/>
  <c r="W31" i="4"/>
  <c r="W26" i="4"/>
  <c r="X20" i="4"/>
  <c r="W15" i="4"/>
  <c r="W10" i="4"/>
  <c r="V79" i="4"/>
  <c r="V69" i="4"/>
  <c r="V59" i="4"/>
  <c r="V48" i="4"/>
  <c r="V38" i="4"/>
  <c r="V28" i="4"/>
  <c r="V18" i="4"/>
  <c r="V8" i="4"/>
  <c r="W84" i="4"/>
  <c r="X78" i="4"/>
  <c r="W73" i="4"/>
  <c r="W68" i="4"/>
  <c r="X62" i="4"/>
  <c r="W52" i="4"/>
  <c r="X46" i="4"/>
  <c r="W41" i="4"/>
  <c r="W36" i="4"/>
  <c r="X30" i="4"/>
  <c r="W25" i="4"/>
  <c r="W20" i="4"/>
  <c r="X14" i="4"/>
  <c r="W9" i="4"/>
  <c r="W46" i="4"/>
  <c r="X40" i="4"/>
  <c r="W35" i="4"/>
  <c r="W30" i="4"/>
  <c r="X24" i="4"/>
  <c r="W19" i="4"/>
  <c r="W14" i="4"/>
  <c r="X8" i="4"/>
  <c r="V86" i="4"/>
  <c r="V77" i="4"/>
  <c r="V45" i="4"/>
  <c r="V36" i="4"/>
  <c r="V25" i="4"/>
  <c r="V15" i="4"/>
  <c r="W6" i="4"/>
  <c r="X82" i="4"/>
  <c r="W77" i="4"/>
  <c r="W72" i="4"/>
  <c r="X66" i="4"/>
  <c r="W61" i="4"/>
  <c r="X50" i="4"/>
  <c r="W45" i="4"/>
  <c r="W40" i="4"/>
  <c r="X34" i="4"/>
  <c r="W29" i="4"/>
  <c r="W24" i="4"/>
  <c r="X18" i="4"/>
  <c r="W13" i="4"/>
  <c r="W7" i="4"/>
  <c r="W50" i="4"/>
  <c r="X44" i="4"/>
  <c r="W39" i="4"/>
  <c r="W34" i="4"/>
  <c r="X28" i="4"/>
  <c r="W23" i="4"/>
  <c r="W18" i="4"/>
  <c r="X12" i="4"/>
  <c r="X6" i="4"/>
  <c r="V83" i="4"/>
  <c r="V76" i="4"/>
  <c r="V68" i="4"/>
  <c r="V61" i="4"/>
  <c r="V54" i="4"/>
  <c r="V46" i="4"/>
  <c r="V39" i="4"/>
  <c r="V31" i="4"/>
  <c r="V23" i="4"/>
  <c r="V16" i="4"/>
  <c r="V9" i="4"/>
  <c r="X85" i="4"/>
  <c r="X81" i="4"/>
  <c r="X77" i="4"/>
  <c r="X73" i="4"/>
  <c r="X69" i="4"/>
  <c r="X65" i="4"/>
  <c r="X61" i="4"/>
  <c r="X53" i="4"/>
  <c r="X49" i="4"/>
  <c r="X45" i="4"/>
  <c r="X41" i="4"/>
  <c r="X37" i="4"/>
  <c r="X33" i="4"/>
  <c r="X29" i="4"/>
  <c r="X25" i="4"/>
  <c r="X21" i="4"/>
  <c r="X17" i="4"/>
  <c r="X13" i="4"/>
  <c r="X9" i="4"/>
  <c r="W8" i="4"/>
  <c r="V87" i="4"/>
  <c r="V80" i="4"/>
  <c r="V72" i="4"/>
  <c r="V65" i="4"/>
  <c r="V50" i="4"/>
  <c r="V35" i="4"/>
  <c r="V27" i="4"/>
  <c r="V19" i="4"/>
  <c r="V12" i="4"/>
  <c r="X87" i="4"/>
  <c r="X83" i="4"/>
  <c r="X79" i="4"/>
  <c r="X75" i="4"/>
  <c r="X71" i="4"/>
  <c r="X67" i="4"/>
  <c r="X63" i="4"/>
  <c r="X59" i="4"/>
  <c r="X55" i="4"/>
  <c r="X51" i="4"/>
  <c r="X47" i="4"/>
  <c r="X43" i="4"/>
  <c r="X39" i="4"/>
  <c r="X35" i="4"/>
  <c r="X31" i="4"/>
  <c r="X27" i="4"/>
  <c r="X23" i="4"/>
  <c r="X19" i="4"/>
  <c r="X15" i="4"/>
  <c r="X11" i="4"/>
  <c r="J46" i="4"/>
  <c r="C27" i="3"/>
  <c r="C28" i="4"/>
  <c r="C27" i="4"/>
  <c r="C39" i="3"/>
  <c r="C26" i="3"/>
  <c r="C19" i="4" l="1"/>
  <c r="T57" i="4" s="1"/>
  <c r="G38" i="1"/>
  <c r="C30" i="4"/>
  <c r="L29" i="3"/>
  <c r="C43" i="3" s="1"/>
  <c r="G22" i="1" s="1"/>
  <c r="H24" i="1" s="1"/>
  <c r="Q58" i="3"/>
  <c r="Q7" i="3"/>
  <c r="Q15" i="3"/>
  <c r="L46" i="4"/>
  <c r="Q31" i="3"/>
  <c r="Q78" i="3"/>
  <c r="Q77" i="3"/>
  <c r="Q59" i="3"/>
  <c r="Q33" i="3"/>
  <c r="Q20" i="3"/>
  <c r="Q36" i="3"/>
  <c r="Q64" i="3"/>
  <c r="Q12" i="3"/>
  <c r="Q84" i="3"/>
  <c r="Q79" i="3"/>
  <c r="Q30" i="3"/>
  <c r="Q80" i="3"/>
  <c r="Q83" i="3"/>
  <c r="Q54" i="3"/>
  <c r="Q71" i="3"/>
  <c r="Q13" i="3"/>
  <c r="Q87" i="3"/>
  <c r="Q86" i="3"/>
  <c r="Q32" i="3"/>
  <c r="Q62" i="3"/>
  <c r="Q17" i="3"/>
  <c r="Q76" i="3"/>
  <c r="Q14" i="3"/>
  <c r="Q21" i="3"/>
  <c r="Q75" i="3"/>
  <c r="Q35" i="3"/>
  <c r="Q34" i="3"/>
  <c r="Q73" i="3"/>
  <c r="Q61" i="3"/>
  <c r="Q88" i="3"/>
  <c r="Q10" i="3"/>
  <c r="Q72" i="3"/>
  <c r="Q46" i="3"/>
  <c r="Q28" i="3"/>
  <c r="Q23" i="3"/>
  <c r="Q66" i="3"/>
  <c r="Q74" i="3"/>
  <c r="Q48" i="3"/>
  <c r="Q19" i="3"/>
  <c r="Q65" i="3"/>
  <c r="Q52" i="3"/>
  <c r="Q37" i="3"/>
  <c r="Q47" i="3"/>
  <c r="Q8" i="3"/>
  <c r="Q27" i="3"/>
  <c r="Q51" i="3"/>
  <c r="Q38" i="3"/>
  <c r="Q85" i="3"/>
  <c r="Q57" i="3"/>
  <c r="Q81" i="3"/>
  <c r="Q39" i="3"/>
  <c r="Q42" i="3"/>
  <c r="Q45" i="3"/>
  <c r="Q43" i="3"/>
  <c r="Q11" i="3"/>
  <c r="Q40" i="3"/>
  <c r="Q25" i="3"/>
  <c r="Q49" i="3"/>
  <c r="Q16" i="3"/>
  <c r="Q70" i="3"/>
  <c r="Q44" i="3"/>
  <c r="Q29" i="3"/>
  <c r="Q18" i="3"/>
  <c r="Q41" i="3"/>
  <c r="Q50" i="3"/>
  <c r="Q22" i="3"/>
  <c r="Q24" i="3"/>
  <c r="Q60" i="3"/>
  <c r="Q55" i="3"/>
  <c r="Q68" i="3"/>
  <c r="Q53" i="3"/>
  <c r="Q63" i="3"/>
  <c r="Q56" i="3"/>
  <c r="Q69" i="3"/>
  <c r="Q26" i="3"/>
  <c r="Q9" i="3"/>
  <c r="Q82" i="3"/>
  <c r="Q67" i="3"/>
  <c r="L43" i="4"/>
  <c r="L32" i="3"/>
  <c r="C51" i="4"/>
  <c r="AF8" i="4"/>
  <c r="AH10" i="4"/>
  <c r="AG13" i="4"/>
  <c r="AF16" i="4"/>
  <c r="AH18" i="4"/>
  <c r="AG21" i="4"/>
  <c r="AF24" i="4"/>
  <c r="AH26" i="4"/>
  <c r="AG29" i="4"/>
  <c r="AF32" i="4"/>
  <c r="AH34" i="4"/>
  <c r="AG37" i="4"/>
  <c r="AF40" i="4"/>
  <c r="AH42" i="4"/>
  <c r="AG8" i="4"/>
  <c r="AF11" i="4"/>
  <c r="AH13" i="4"/>
  <c r="AG16" i="4"/>
  <c r="AF19" i="4"/>
  <c r="AH21" i="4"/>
  <c r="AG24" i="4"/>
  <c r="AF27" i="4"/>
  <c r="AH29" i="4"/>
  <c r="AG32" i="4"/>
  <c r="AF35" i="4"/>
  <c r="AH37" i="4"/>
  <c r="AG40" i="4"/>
  <c r="AF43" i="4"/>
  <c r="AH45" i="4"/>
  <c r="AG48" i="4"/>
  <c r="AF51" i="4"/>
  <c r="AH53" i="4"/>
  <c r="AF61" i="4"/>
  <c r="AH63" i="4"/>
  <c r="AG66" i="4"/>
  <c r="AF69" i="4"/>
  <c r="AH71" i="4"/>
  <c r="AG74" i="4"/>
  <c r="AF77" i="4"/>
  <c r="AH79" i="4"/>
  <c r="AG82" i="4"/>
  <c r="AF85" i="4"/>
  <c r="AH87" i="4"/>
  <c r="AF9" i="4"/>
  <c r="AG14" i="4"/>
  <c r="AF17" i="4"/>
  <c r="AG22" i="4"/>
  <c r="AH27" i="4"/>
  <c r="AG30" i="4"/>
  <c r="AH35" i="4"/>
  <c r="AF41" i="4"/>
  <c r="AH43" i="4"/>
  <c r="AF49" i="4"/>
  <c r="AH51" i="4"/>
  <c r="AG54" i="4"/>
  <c r="AF59" i="4"/>
  <c r="AH61" i="4"/>
  <c r="AF67" i="4"/>
  <c r="AH69" i="4"/>
  <c r="AG72" i="4"/>
  <c r="AF75" i="4"/>
  <c r="AG80" i="4"/>
  <c r="AH85" i="4"/>
  <c r="AG6" i="4"/>
  <c r="AH8" i="4"/>
  <c r="AG11" i="4"/>
  <c r="AF14" i="4"/>
  <c r="AH16" i="4"/>
  <c r="AG19" i="4"/>
  <c r="AF22" i="4"/>
  <c r="AH24" i="4"/>
  <c r="AG27" i="4"/>
  <c r="AF30" i="4"/>
  <c r="AH32" i="4"/>
  <c r="AG35" i="4"/>
  <c r="AF38" i="4"/>
  <c r="AH40" i="4"/>
  <c r="AG43" i="4"/>
  <c r="AF46" i="4"/>
  <c r="AH48" i="4"/>
  <c r="AG51" i="4"/>
  <c r="AF54" i="4"/>
  <c r="AG61" i="4"/>
  <c r="AF64" i="4"/>
  <c r="AH66" i="4"/>
  <c r="AG69" i="4"/>
  <c r="AF72" i="4"/>
  <c r="AH74" i="4"/>
  <c r="AG77" i="4"/>
  <c r="AF80" i="4"/>
  <c r="AH82" i="4"/>
  <c r="AG85" i="4"/>
  <c r="AH6" i="4"/>
  <c r="AH11" i="4"/>
  <c r="AH19" i="4"/>
  <c r="AF25" i="4"/>
  <c r="AF33" i="4"/>
  <c r="AG38" i="4"/>
  <c r="AG46" i="4"/>
  <c r="AG64" i="4"/>
  <c r="AH77" i="4"/>
  <c r="AF83" i="4"/>
  <c r="AG9" i="4"/>
  <c r="AF12" i="4"/>
  <c r="AH14" i="4"/>
  <c r="AG17" i="4"/>
  <c r="AF20" i="4"/>
  <c r="AH22" i="4"/>
  <c r="AG25" i="4"/>
  <c r="AF28" i="4"/>
  <c r="AH30" i="4"/>
  <c r="AG33" i="4"/>
  <c r="AF36" i="4"/>
  <c r="AH38" i="4"/>
  <c r="AG41" i="4"/>
  <c r="AF44" i="4"/>
  <c r="AH46" i="4"/>
  <c r="AG49" i="4"/>
  <c r="AF52" i="4"/>
  <c r="AH54" i="4"/>
  <c r="AG59" i="4"/>
  <c r="AF62" i="4"/>
  <c r="AH64" i="4"/>
  <c r="AG67" i="4"/>
  <c r="AF70" i="4"/>
  <c r="AH72" i="4"/>
  <c r="AG75" i="4"/>
  <c r="AF78" i="4"/>
  <c r="AH80" i="4"/>
  <c r="AG83" i="4"/>
  <c r="AF86" i="4"/>
  <c r="AF6" i="4"/>
  <c r="AH7" i="4"/>
  <c r="AF13" i="4"/>
  <c r="AG18" i="4"/>
  <c r="AH23" i="4"/>
  <c r="AF29" i="4"/>
  <c r="AF37" i="4"/>
  <c r="AG42" i="4"/>
  <c r="AH47" i="4"/>
  <c r="AH55" i="4"/>
  <c r="AF63" i="4"/>
  <c r="AF71" i="4"/>
  <c r="AH73" i="4"/>
  <c r="AF79" i="4"/>
  <c r="AG84" i="4"/>
  <c r="AG45" i="4"/>
  <c r="AH50" i="4"/>
  <c r="AG63" i="4"/>
  <c r="AG71" i="4"/>
  <c r="AH76" i="4"/>
  <c r="AF82" i="4"/>
  <c r="AF7" i="4"/>
  <c r="AH9" i="4"/>
  <c r="AG12" i="4"/>
  <c r="AF15" i="4"/>
  <c r="AH17" i="4"/>
  <c r="AG20" i="4"/>
  <c r="AF23" i="4"/>
  <c r="AH25" i="4"/>
  <c r="AG28" i="4"/>
  <c r="AF31" i="4"/>
  <c r="AH33" i="4"/>
  <c r="AG36" i="4"/>
  <c r="AF39" i="4"/>
  <c r="AH41" i="4"/>
  <c r="AG44" i="4"/>
  <c r="AF47" i="4"/>
  <c r="AH49" i="4"/>
  <c r="AG52" i="4"/>
  <c r="AF55" i="4"/>
  <c r="AH59" i="4"/>
  <c r="AG62" i="4"/>
  <c r="AF65" i="4"/>
  <c r="AH67" i="4"/>
  <c r="AG70" i="4"/>
  <c r="AF73" i="4"/>
  <c r="AH75" i="4"/>
  <c r="AG78" i="4"/>
  <c r="AF81" i="4"/>
  <c r="AH83" i="4"/>
  <c r="AG86" i="4"/>
  <c r="AG50" i="4"/>
  <c r="AH68" i="4"/>
  <c r="AG87" i="4"/>
  <c r="AG7" i="4"/>
  <c r="AF10" i="4"/>
  <c r="AH12" i="4"/>
  <c r="AG15" i="4"/>
  <c r="AF18" i="4"/>
  <c r="AH20" i="4"/>
  <c r="AG23" i="4"/>
  <c r="AF26" i="4"/>
  <c r="AH28" i="4"/>
  <c r="AG31" i="4"/>
  <c r="AF34" i="4"/>
  <c r="AH36" i="4"/>
  <c r="AG39" i="4"/>
  <c r="AF42" i="4"/>
  <c r="AH44" i="4"/>
  <c r="AG47" i="4"/>
  <c r="AF50" i="4"/>
  <c r="AH52" i="4"/>
  <c r="AG55" i="4"/>
  <c r="AF60" i="4"/>
  <c r="AH62" i="4"/>
  <c r="AG65" i="4"/>
  <c r="AF68" i="4"/>
  <c r="AH70" i="4"/>
  <c r="AG73" i="4"/>
  <c r="AF76" i="4"/>
  <c r="AH78" i="4"/>
  <c r="AG81" i="4"/>
  <c r="AF84" i="4"/>
  <c r="AH86" i="4"/>
  <c r="AG10" i="4"/>
  <c r="AH15" i="4"/>
  <c r="AF21" i="4"/>
  <c r="AG26" i="4"/>
  <c r="AH31" i="4"/>
  <c r="AG34" i="4"/>
  <c r="AH39" i="4"/>
  <c r="AF45" i="4"/>
  <c r="AF53" i="4"/>
  <c r="AG60" i="4"/>
  <c r="AH65" i="4"/>
  <c r="AG68" i="4"/>
  <c r="AG76" i="4"/>
  <c r="AH81" i="4"/>
  <c r="AF87" i="4"/>
  <c r="AF48" i="4"/>
  <c r="AG53" i="4"/>
  <c r="AH60" i="4"/>
  <c r="AF66" i="4"/>
  <c r="AF74" i="4"/>
  <c r="AG79" i="4"/>
  <c r="AH84" i="4"/>
  <c r="C50" i="4"/>
  <c r="C49" i="4"/>
  <c r="C29" i="4"/>
  <c r="AA7" i="4"/>
  <c r="AC9" i="4"/>
  <c r="AB12" i="4"/>
  <c r="AA15" i="4"/>
  <c r="AC17" i="4"/>
  <c r="AB20" i="4"/>
  <c r="AA23" i="4"/>
  <c r="AC25" i="4"/>
  <c r="AB28" i="4"/>
  <c r="AA31" i="4"/>
  <c r="AC33" i="4"/>
  <c r="AB36" i="4"/>
  <c r="AA39" i="4"/>
  <c r="AC41" i="4"/>
  <c r="AB44" i="4"/>
  <c r="AA47" i="4"/>
  <c r="AC49" i="4"/>
  <c r="AB52" i="4"/>
  <c r="AA55" i="4"/>
  <c r="AB60" i="4"/>
  <c r="AA63" i="4"/>
  <c r="AC65" i="4"/>
  <c r="AB68" i="4"/>
  <c r="AA71" i="4"/>
  <c r="AC73" i="4"/>
  <c r="AB76" i="4"/>
  <c r="AA79" i="4"/>
  <c r="AC81" i="4"/>
  <c r="AB84" i="4"/>
  <c r="AA87" i="4"/>
  <c r="AA20" i="4"/>
  <c r="AC54" i="4"/>
  <c r="AA68" i="4"/>
  <c r="AC86" i="4"/>
  <c r="AB7" i="4"/>
  <c r="AA10" i="4"/>
  <c r="AC12" i="4"/>
  <c r="AB15" i="4"/>
  <c r="AA18" i="4"/>
  <c r="AC20" i="4"/>
  <c r="AB23" i="4"/>
  <c r="AA26" i="4"/>
  <c r="AC28" i="4"/>
  <c r="AB31" i="4"/>
  <c r="AA34" i="4"/>
  <c r="AC36" i="4"/>
  <c r="AB39" i="4"/>
  <c r="AA42" i="4"/>
  <c r="AC44" i="4"/>
  <c r="AB47" i="4"/>
  <c r="AA50" i="4"/>
  <c r="AC52" i="4"/>
  <c r="AB55" i="4"/>
  <c r="AC60" i="4"/>
  <c r="AB63" i="4"/>
  <c r="AA66" i="4"/>
  <c r="AC68" i="4"/>
  <c r="AB71" i="4"/>
  <c r="AA74" i="4"/>
  <c r="AC76" i="4"/>
  <c r="AB79" i="4"/>
  <c r="AA82" i="4"/>
  <c r="AC84" i="4"/>
  <c r="AB87" i="4"/>
  <c r="AB41" i="4"/>
  <c r="AB81" i="4"/>
  <c r="AC7" i="4"/>
  <c r="AB10" i="4"/>
  <c r="AA13" i="4"/>
  <c r="AC15" i="4"/>
  <c r="AB18" i="4"/>
  <c r="AA21" i="4"/>
  <c r="AC23" i="4"/>
  <c r="AB26" i="4"/>
  <c r="AA29" i="4"/>
  <c r="AC31" i="4"/>
  <c r="AB34" i="4"/>
  <c r="AA37" i="4"/>
  <c r="AC39" i="4"/>
  <c r="AB42" i="4"/>
  <c r="AA45" i="4"/>
  <c r="AC47" i="4"/>
  <c r="AB50" i="4"/>
  <c r="AA53" i="4"/>
  <c r="AC55" i="4"/>
  <c r="AA61" i="4"/>
  <c r="AC63" i="4"/>
  <c r="AB66" i="4"/>
  <c r="AA69" i="4"/>
  <c r="AC71" i="4"/>
  <c r="AB74" i="4"/>
  <c r="AA77" i="4"/>
  <c r="AC79" i="4"/>
  <c r="AB82" i="4"/>
  <c r="AA85" i="4"/>
  <c r="AC87" i="4"/>
  <c r="AC22" i="4"/>
  <c r="AB33" i="4"/>
  <c r="AA52" i="4"/>
  <c r="AB65" i="4"/>
  <c r="AA76" i="4"/>
  <c r="AA8" i="4"/>
  <c r="AC10" i="4"/>
  <c r="AB13" i="4"/>
  <c r="AA16" i="4"/>
  <c r="AC18" i="4"/>
  <c r="AB21" i="4"/>
  <c r="AA24" i="4"/>
  <c r="AC26" i="4"/>
  <c r="AB29" i="4"/>
  <c r="AA32" i="4"/>
  <c r="AC34" i="4"/>
  <c r="AB37" i="4"/>
  <c r="AA40" i="4"/>
  <c r="AC42" i="4"/>
  <c r="AB45" i="4"/>
  <c r="AA48" i="4"/>
  <c r="AC50" i="4"/>
  <c r="AB53" i="4"/>
  <c r="AB61" i="4"/>
  <c r="AA64" i="4"/>
  <c r="AC66" i="4"/>
  <c r="AB69" i="4"/>
  <c r="AA72" i="4"/>
  <c r="AC74" i="4"/>
  <c r="AB77" i="4"/>
  <c r="AA80" i="4"/>
  <c r="AC82" i="4"/>
  <c r="AB85" i="4"/>
  <c r="AC6" i="4"/>
  <c r="AB17" i="4"/>
  <c r="AA60" i="4"/>
  <c r="AB8" i="4"/>
  <c r="AA11" i="4"/>
  <c r="AC13" i="4"/>
  <c r="AB16" i="4"/>
  <c r="AA19" i="4"/>
  <c r="AC21" i="4"/>
  <c r="AB24" i="4"/>
  <c r="AA27" i="4"/>
  <c r="AC29" i="4"/>
  <c r="AB32" i="4"/>
  <c r="AA35" i="4"/>
  <c r="AC37" i="4"/>
  <c r="AB40" i="4"/>
  <c r="AA43" i="4"/>
  <c r="AC45" i="4"/>
  <c r="AB48" i="4"/>
  <c r="AA51" i="4"/>
  <c r="AC53" i="4"/>
  <c r="AA59" i="4"/>
  <c r="AC61" i="4"/>
  <c r="AB64" i="4"/>
  <c r="AA67" i="4"/>
  <c r="AC69" i="4"/>
  <c r="AB72" i="4"/>
  <c r="AA75" i="4"/>
  <c r="AC77" i="4"/>
  <c r="AB80" i="4"/>
  <c r="AA83" i="4"/>
  <c r="AC85" i="4"/>
  <c r="AB6" i="4"/>
  <c r="AC14" i="4"/>
  <c r="AC78" i="4"/>
  <c r="AC8" i="4"/>
  <c r="AB11" i="4"/>
  <c r="AA14" i="4"/>
  <c r="AC16" i="4"/>
  <c r="AB19" i="4"/>
  <c r="AA22" i="4"/>
  <c r="AC24" i="4"/>
  <c r="AB27" i="4"/>
  <c r="AA30" i="4"/>
  <c r="AC32" i="4"/>
  <c r="AB35" i="4"/>
  <c r="AA38" i="4"/>
  <c r="AC40" i="4"/>
  <c r="AB43" i="4"/>
  <c r="AA46" i="4"/>
  <c r="AC48" i="4"/>
  <c r="AB51" i="4"/>
  <c r="AA54" i="4"/>
  <c r="AB59" i="4"/>
  <c r="AA62" i="4"/>
  <c r="AC64" i="4"/>
  <c r="AD64" i="4" s="1"/>
  <c r="AB67" i="4"/>
  <c r="AA70" i="4"/>
  <c r="AC72" i="4"/>
  <c r="AD72" i="4" s="1"/>
  <c r="AB75" i="4"/>
  <c r="AA78" i="4"/>
  <c r="AC80" i="4"/>
  <c r="AB83" i="4"/>
  <c r="AA86" i="4"/>
  <c r="AA6" i="4"/>
  <c r="AA12" i="4"/>
  <c r="AC46" i="4"/>
  <c r="AC70" i="4"/>
  <c r="AA84" i="4"/>
  <c r="AA9" i="4"/>
  <c r="AC11" i="4"/>
  <c r="AB14" i="4"/>
  <c r="AA17" i="4"/>
  <c r="AC19" i="4"/>
  <c r="AB22" i="4"/>
  <c r="AA25" i="4"/>
  <c r="AC27" i="4"/>
  <c r="AB30" i="4"/>
  <c r="AA33" i="4"/>
  <c r="AC35" i="4"/>
  <c r="AB38" i="4"/>
  <c r="AA41" i="4"/>
  <c r="AC43" i="4"/>
  <c r="AB46" i="4"/>
  <c r="AA49" i="4"/>
  <c r="AC51" i="4"/>
  <c r="AB54" i="4"/>
  <c r="AC59" i="4"/>
  <c r="AB62" i="4"/>
  <c r="AA65" i="4"/>
  <c r="AC67" i="4"/>
  <c r="AB70" i="4"/>
  <c r="AA73" i="4"/>
  <c r="AC75" i="4"/>
  <c r="AB78" i="4"/>
  <c r="AA81" i="4"/>
  <c r="AC83" i="4"/>
  <c r="AB86" i="4"/>
  <c r="AB9" i="4"/>
  <c r="AB25" i="4"/>
  <c r="AA28" i="4"/>
  <c r="AC30" i="4"/>
  <c r="AA36" i="4"/>
  <c r="AC38" i="4"/>
  <c r="AA44" i="4"/>
  <c r="AB49" i="4"/>
  <c r="AC62" i="4"/>
  <c r="AB73" i="4"/>
  <c r="Y63" i="4"/>
  <c r="Y13" i="4"/>
  <c r="Y17" i="4"/>
  <c r="Y74" i="4"/>
  <c r="Y30" i="4"/>
  <c r="Y86" i="4"/>
  <c r="Y22" i="4"/>
  <c r="Y55" i="4"/>
  <c r="Y78" i="4"/>
  <c r="Y76" i="4"/>
  <c r="Y7" i="4"/>
  <c r="Y14" i="4"/>
  <c r="Y85" i="4"/>
  <c r="Y61" i="4"/>
  <c r="Y71" i="4"/>
  <c r="Y69" i="4"/>
  <c r="Y82" i="4"/>
  <c r="Y37" i="4"/>
  <c r="Y64" i="4"/>
  <c r="Y51" i="4"/>
  <c r="Y12" i="4"/>
  <c r="Y47" i="4"/>
  <c r="Y77" i="4"/>
  <c r="Y53" i="4"/>
  <c r="Y62" i="4"/>
  <c r="Y26" i="4"/>
  <c r="Y60" i="4"/>
  <c r="Y80" i="4"/>
  <c r="Y44" i="4"/>
  <c r="Y41" i="4"/>
  <c r="Y16" i="4"/>
  <c r="Y66" i="4"/>
  <c r="Y67" i="4"/>
  <c r="Y33" i="4"/>
  <c r="Y42" i="4"/>
  <c r="Y43" i="4"/>
  <c r="Y34" i="4"/>
  <c r="Y79" i="4"/>
  <c r="S58" i="4" a="1"/>
  <c r="S58" i="4" s="1"/>
  <c r="Y10" i="4"/>
  <c r="Y72" i="4"/>
  <c r="Y68" i="4"/>
  <c r="Y38" i="4"/>
  <c r="Y20" i="4"/>
  <c r="Y29" i="4"/>
  <c r="Y24" i="4"/>
  <c r="Y50" i="4"/>
  <c r="Y52" i="4"/>
  <c r="Y46" i="4"/>
  <c r="Y70" i="4"/>
  <c r="Y31" i="4"/>
  <c r="Y32" i="4"/>
  <c r="Y35" i="4"/>
  <c r="Y18" i="4"/>
  <c r="Y73" i="4"/>
  <c r="Y28" i="4"/>
  <c r="Y15" i="4"/>
  <c r="Y45" i="4"/>
  <c r="Y83" i="4"/>
  <c r="Y59" i="4"/>
  <c r="Y25" i="4"/>
  <c r="Y21" i="4"/>
  <c r="Y40" i="4"/>
  <c r="Y36" i="4"/>
  <c r="Y48" i="4"/>
  <c r="Y84" i="4"/>
  <c r="Y39" i="4"/>
  <c r="Y8" i="4"/>
  <c r="Y65" i="4"/>
  <c r="Y11" i="4"/>
  <c r="Y75" i="4"/>
  <c r="Y23" i="4"/>
  <c r="Y49" i="4"/>
  <c r="Y81" i="4"/>
  <c r="Y54" i="4"/>
  <c r="Y9" i="4"/>
  <c r="Y19" i="4"/>
  <c r="Y87" i="4"/>
  <c r="Y27" i="4"/>
  <c r="C40" i="4"/>
  <c r="C41" i="4"/>
  <c r="C39" i="4"/>
  <c r="AC10" i="3"/>
  <c r="AE8" i="3"/>
  <c r="AE9" i="3"/>
  <c r="AE10" i="3"/>
  <c r="AE11" i="3"/>
  <c r="AE12" i="3"/>
  <c r="AE13" i="3"/>
  <c r="AE14" i="3"/>
  <c r="AE15" i="3"/>
  <c r="AE16" i="3"/>
  <c r="AE17" i="3"/>
  <c r="AE18" i="3"/>
  <c r="AE19" i="3"/>
  <c r="AE20" i="3"/>
  <c r="AE21" i="3"/>
  <c r="AE22" i="3"/>
  <c r="AE23" i="3"/>
  <c r="AE24" i="3"/>
  <c r="AE25" i="3"/>
  <c r="AE26" i="3"/>
  <c r="AE27" i="3"/>
  <c r="AE28" i="3"/>
  <c r="AE29" i="3"/>
  <c r="AE30" i="3"/>
  <c r="AE31" i="3"/>
  <c r="AE32" i="3"/>
  <c r="AE33" i="3"/>
  <c r="AE34" i="3"/>
  <c r="AE35" i="3"/>
  <c r="AE36" i="3"/>
  <c r="AE37" i="3"/>
  <c r="AE38" i="3"/>
  <c r="AE39" i="3"/>
  <c r="AE40" i="3"/>
  <c r="AE41" i="3"/>
  <c r="AE42" i="3"/>
  <c r="AE43" i="3"/>
  <c r="AE44" i="3"/>
  <c r="AE45" i="3"/>
  <c r="AE46" i="3"/>
  <c r="AE47" i="3"/>
  <c r="AE48" i="3"/>
  <c r="AE49" i="3"/>
  <c r="AE50" i="3"/>
  <c r="AE51" i="3"/>
  <c r="AE52" i="3"/>
  <c r="AE53" i="3"/>
  <c r="AE54" i="3"/>
  <c r="AE55" i="3"/>
  <c r="AE56" i="3"/>
  <c r="AE57" i="3"/>
  <c r="AE58" i="3"/>
  <c r="AE59" i="3"/>
  <c r="AE60" i="3"/>
  <c r="AE61" i="3"/>
  <c r="AE62" i="3"/>
  <c r="AE63" i="3"/>
  <c r="AE64" i="3"/>
  <c r="AE65" i="3"/>
  <c r="AE66" i="3"/>
  <c r="AE67" i="3"/>
  <c r="AE68" i="3"/>
  <c r="AE69" i="3"/>
  <c r="AE70" i="3"/>
  <c r="AE71" i="3"/>
  <c r="AE72" i="3"/>
  <c r="AE73" i="3"/>
  <c r="AE74" i="3"/>
  <c r="AE75" i="3"/>
  <c r="AE76" i="3"/>
  <c r="AE77" i="3"/>
  <c r="AE78" i="3"/>
  <c r="AE79" i="3"/>
  <c r="AE80" i="3"/>
  <c r="AE81" i="3"/>
  <c r="AE82" i="3"/>
  <c r="AE83" i="3"/>
  <c r="AE84" i="3"/>
  <c r="AE85" i="3"/>
  <c r="AE86" i="3"/>
  <c r="AE87" i="3"/>
  <c r="AE88" i="3"/>
  <c r="AE7" i="3"/>
  <c r="AD8" i="3"/>
  <c r="AD9" i="3"/>
  <c r="AD10" i="3"/>
  <c r="AD11" i="3"/>
  <c r="AD12" i="3"/>
  <c r="AD13" i="3"/>
  <c r="AD14" i="3"/>
  <c r="AD15" i="3"/>
  <c r="AD16" i="3"/>
  <c r="AD17" i="3"/>
  <c r="AD18" i="3"/>
  <c r="AD19" i="3"/>
  <c r="AD20" i="3"/>
  <c r="AD21" i="3"/>
  <c r="AD22" i="3"/>
  <c r="AD23" i="3"/>
  <c r="AD24" i="3"/>
  <c r="AD25" i="3"/>
  <c r="AD26" i="3"/>
  <c r="AD27" i="3"/>
  <c r="AD28" i="3"/>
  <c r="AD29" i="3"/>
  <c r="AD30" i="3"/>
  <c r="AD31" i="3"/>
  <c r="AD32" i="3"/>
  <c r="AD33" i="3"/>
  <c r="AD34" i="3"/>
  <c r="AD35" i="3"/>
  <c r="AD36" i="3"/>
  <c r="AD37" i="3"/>
  <c r="AD38" i="3"/>
  <c r="AD39" i="3"/>
  <c r="AD40" i="3"/>
  <c r="AD41" i="3"/>
  <c r="AD42" i="3"/>
  <c r="AD43" i="3"/>
  <c r="AD44" i="3"/>
  <c r="AD45" i="3"/>
  <c r="AD46" i="3"/>
  <c r="AD47" i="3"/>
  <c r="AD48" i="3"/>
  <c r="AD49" i="3"/>
  <c r="AD50" i="3"/>
  <c r="AD51" i="3"/>
  <c r="AD52" i="3"/>
  <c r="AD53" i="3"/>
  <c r="AD54" i="3"/>
  <c r="AD55" i="3"/>
  <c r="AD56" i="3"/>
  <c r="AD57" i="3"/>
  <c r="AD58" i="3"/>
  <c r="AD59" i="3"/>
  <c r="AD60" i="3"/>
  <c r="AD61" i="3"/>
  <c r="AD62" i="3"/>
  <c r="AD63" i="3"/>
  <c r="AD64" i="3"/>
  <c r="AD65" i="3"/>
  <c r="AD66" i="3"/>
  <c r="AD67" i="3"/>
  <c r="AD68" i="3"/>
  <c r="AD69" i="3"/>
  <c r="AD70" i="3"/>
  <c r="AD71" i="3"/>
  <c r="AD72" i="3"/>
  <c r="AD73" i="3"/>
  <c r="AD74" i="3"/>
  <c r="AD75" i="3"/>
  <c r="AD76" i="3"/>
  <c r="AD77" i="3"/>
  <c r="AD78" i="3"/>
  <c r="AD79" i="3"/>
  <c r="AD80" i="3"/>
  <c r="AD81" i="3"/>
  <c r="AD82" i="3"/>
  <c r="AD83" i="3"/>
  <c r="AD84" i="3"/>
  <c r="AD85" i="3"/>
  <c r="AD86" i="3"/>
  <c r="AD87" i="3"/>
  <c r="AD88" i="3"/>
  <c r="AD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7" i="3"/>
  <c r="Y8" i="3"/>
  <c r="Y9" i="3"/>
  <c r="Y10" i="3"/>
  <c r="Y11" i="3"/>
  <c r="Y12" i="3"/>
  <c r="Y13" i="3"/>
  <c r="Y14"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Y65" i="3"/>
  <c r="Y66" i="3"/>
  <c r="Y67" i="3"/>
  <c r="Y68" i="3"/>
  <c r="Y69" i="3"/>
  <c r="Y70" i="3"/>
  <c r="Y71" i="3"/>
  <c r="Y72" i="3"/>
  <c r="Y73" i="3"/>
  <c r="Y74" i="3"/>
  <c r="Y75" i="3"/>
  <c r="Y76" i="3"/>
  <c r="Y77" i="3"/>
  <c r="Y78" i="3"/>
  <c r="Y79" i="3"/>
  <c r="Y80" i="3"/>
  <c r="Y81" i="3"/>
  <c r="Y82" i="3"/>
  <c r="Y83" i="3"/>
  <c r="Y84" i="3"/>
  <c r="Y85" i="3"/>
  <c r="Y86" i="3"/>
  <c r="Y87" i="3"/>
  <c r="Y88" i="3"/>
  <c r="Y7" i="3"/>
  <c r="X8" i="3"/>
  <c r="X9" i="3"/>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7" i="3"/>
  <c r="U7" i="3"/>
  <c r="G24" i="1" l="1"/>
  <c r="G35" i="1"/>
  <c r="T56" i="4"/>
  <c r="AD8" i="4"/>
  <c r="AD32" i="4"/>
  <c r="AD24" i="4"/>
  <c r="AD48" i="4"/>
  <c r="T87" i="4"/>
  <c r="T86" i="4"/>
  <c r="T78" i="4"/>
  <c r="T70" i="4"/>
  <c r="T62" i="4"/>
  <c r="T52" i="4"/>
  <c r="T44" i="4"/>
  <c r="T36" i="4"/>
  <c r="T28" i="4"/>
  <c r="T20" i="4"/>
  <c r="T12" i="4"/>
  <c r="T55" i="4"/>
  <c r="T7" i="4"/>
  <c r="T64" i="4"/>
  <c r="T38" i="4"/>
  <c r="T6" i="4"/>
  <c r="T45" i="4"/>
  <c r="T21" i="4"/>
  <c r="T85" i="4"/>
  <c r="T77" i="4"/>
  <c r="T69" i="4"/>
  <c r="T61" i="4"/>
  <c r="T51" i="4"/>
  <c r="T43" i="4"/>
  <c r="T35" i="4"/>
  <c r="T27" i="4"/>
  <c r="T19" i="4"/>
  <c r="T11" i="4"/>
  <c r="T10" i="4"/>
  <c r="T25" i="4"/>
  <c r="T9" i="4"/>
  <c r="T81" i="4"/>
  <c r="T65" i="4"/>
  <c r="T39" i="4"/>
  <c r="T23" i="4"/>
  <c r="T80" i="4"/>
  <c r="T54" i="4"/>
  <c r="T30" i="4"/>
  <c r="T79" i="4"/>
  <c r="T37" i="4"/>
  <c r="T84" i="4"/>
  <c r="T76" i="4"/>
  <c r="T68" i="4"/>
  <c r="T60" i="4"/>
  <c r="T50" i="4"/>
  <c r="T42" i="4"/>
  <c r="T34" i="4"/>
  <c r="T26" i="4"/>
  <c r="T18" i="4"/>
  <c r="T53" i="4"/>
  <c r="T13" i="4"/>
  <c r="T83" i="4"/>
  <c r="T75" i="4"/>
  <c r="T67" i="4"/>
  <c r="T59" i="4"/>
  <c r="T49" i="4"/>
  <c r="T41" i="4"/>
  <c r="T33" i="4"/>
  <c r="T17" i="4"/>
  <c r="T14" i="4"/>
  <c r="T63" i="4"/>
  <c r="T82" i="4"/>
  <c r="T74" i="4"/>
  <c r="T66" i="4"/>
  <c r="T58" i="4"/>
  <c r="T48" i="4"/>
  <c r="T40" i="4"/>
  <c r="T32" i="4"/>
  <c r="T24" i="4"/>
  <c r="T16" i="4"/>
  <c r="T8" i="4"/>
  <c r="T73" i="4"/>
  <c r="T47" i="4"/>
  <c r="T31" i="4"/>
  <c r="T15" i="4"/>
  <c r="T72" i="4"/>
  <c r="T46" i="4"/>
  <c r="T22" i="4"/>
  <c r="T71" i="4"/>
  <c r="T29" i="4"/>
  <c r="AD16" i="4"/>
  <c r="C54" i="4" a="1"/>
  <c r="C54" i="4" s="1"/>
  <c r="G29" i="1"/>
  <c r="G31" i="1" s="1"/>
  <c r="AD13" i="4"/>
  <c r="AI55" i="4"/>
  <c r="AD30" i="4"/>
  <c r="AD75" i="4"/>
  <c r="AD51" i="4"/>
  <c r="AD87" i="4"/>
  <c r="AI65" i="4"/>
  <c r="AD18" i="4"/>
  <c r="AD71" i="4"/>
  <c r="AI76" i="4"/>
  <c r="AI36" i="4"/>
  <c r="AI25" i="4"/>
  <c r="AI43" i="4"/>
  <c r="AI80" i="4"/>
  <c r="AI29" i="4"/>
  <c r="AI8" i="4"/>
  <c r="AD61" i="4"/>
  <c r="AI68" i="4"/>
  <c r="AI19" i="4"/>
  <c r="AD77" i="4"/>
  <c r="AI35" i="4"/>
  <c r="C52" i="4"/>
  <c r="AD37" i="4"/>
  <c r="AI26" i="4"/>
  <c r="AI12" i="4"/>
  <c r="AI67" i="4"/>
  <c r="AI85" i="4"/>
  <c r="AI14" i="4"/>
  <c r="AI69" i="4"/>
  <c r="AI74" i="4"/>
  <c r="AI71" i="4"/>
  <c r="AI48" i="4"/>
  <c r="AD23" i="4"/>
  <c r="AD68" i="4"/>
  <c r="AI73" i="4"/>
  <c r="AI7" i="4"/>
  <c r="AI52" i="4"/>
  <c r="AI42" i="4"/>
  <c r="AI41" i="4"/>
  <c r="AI46" i="4"/>
  <c r="AI61" i="4"/>
  <c r="AI72" i="4"/>
  <c r="S72" i="4" s="1" a="1"/>
  <c r="S72" i="4" s="1"/>
  <c r="AI45" i="4"/>
  <c r="AI24" i="4"/>
  <c r="S24" i="4" s="1" a="1"/>
  <c r="S24" i="4" s="1"/>
  <c r="AI31" i="4"/>
  <c r="AI78" i="4"/>
  <c r="AI60" i="4"/>
  <c r="AI47" i="4"/>
  <c r="AI28" i="4"/>
  <c r="AI84" i="4"/>
  <c r="AI83" i="4"/>
  <c r="AI17" i="4"/>
  <c r="AI38" i="4"/>
  <c r="AI87" i="4"/>
  <c r="AI66" i="4"/>
  <c r="AI21" i="4"/>
  <c r="AI64" i="4"/>
  <c r="S64" i="4" s="1" a="1"/>
  <c r="S64" i="4" s="1"/>
  <c r="AI10" i="4"/>
  <c r="AI23" i="4"/>
  <c r="AI70" i="4"/>
  <c r="AI59" i="4"/>
  <c r="AI77" i="4"/>
  <c r="AI11" i="4"/>
  <c r="AI63" i="4"/>
  <c r="AI40" i="4"/>
  <c r="AI50" i="4"/>
  <c r="AI44" i="4"/>
  <c r="AI33" i="4"/>
  <c r="AI51" i="4"/>
  <c r="AI30" i="4"/>
  <c r="AI82" i="4"/>
  <c r="AI37" i="4"/>
  <c r="AI16" i="4"/>
  <c r="AD69" i="4"/>
  <c r="AI39" i="4"/>
  <c r="AI86" i="4"/>
  <c r="AI20" i="4"/>
  <c r="AI18" i="4"/>
  <c r="AI75" i="4"/>
  <c r="AI9" i="4"/>
  <c r="AI27" i="4"/>
  <c r="AI6" i="4"/>
  <c r="AI79" i="4"/>
  <c r="AI13" i="4"/>
  <c r="AD83" i="4"/>
  <c r="AI34" i="4"/>
  <c r="AI81" i="4"/>
  <c r="AI15" i="4"/>
  <c r="AI62" i="4"/>
  <c r="AI49" i="4"/>
  <c r="AI54" i="4"/>
  <c r="AI22" i="4"/>
  <c r="AI53" i="4"/>
  <c r="AI32" i="4"/>
  <c r="S32" i="4" s="1" a="1"/>
  <c r="S32" i="4" s="1"/>
  <c r="V88" i="3"/>
  <c r="V80" i="3"/>
  <c r="V72" i="3"/>
  <c r="V64" i="3"/>
  <c r="V56" i="3"/>
  <c r="V48" i="3"/>
  <c r="V40" i="3"/>
  <c r="V32" i="3"/>
  <c r="V24" i="3"/>
  <c r="V16" i="3"/>
  <c r="V8" i="3"/>
  <c r="V84" i="3"/>
  <c r="V76" i="3"/>
  <c r="V68" i="3"/>
  <c r="V60" i="3"/>
  <c r="V52" i="3"/>
  <c r="V44" i="3"/>
  <c r="V36" i="3"/>
  <c r="V28" i="3"/>
  <c r="V20" i="3"/>
  <c r="V12" i="3"/>
  <c r="AA74" i="3"/>
  <c r="AA58" i="3"/>
  <c r="AA42" i="3"/>
  <c r="AA10" i="3"/>
  <c r="AA82" i="3"/>
  <c r="AA66" i="3"/>
  <c r="AA50" i="3"/>
  <c r="AA34" i="3"/>
  <c r="AA26" i="3"/>
  <c r="AA18" i="3"/>
  <c r="AA7" i="3"/>
  <c r="AA81" i="3"/>
  <c r="AA73" i="3"/>
  <c r="AA65" i="3"/>
  <c r="AA57" i="3"/>
  <c r="AA49" i="3"/>
  <c r="AA41" i="3"/>
  <c r="AA33" i="3"/>
  <c r="AA25" i="3"/>
  <c r="AA17" i="3"/>
  <c r="AA9" i="3"/>
  <c r="V82" i="3"/>
  <c r="V74" i="3"/>
  <c r="V66" i="3"/>
  <c r="V58" i="3"/>
  <c r="V50" i="3"/>
  <c r="V42" i="3"/>
  <c r="V34" i="3"/>
  <c r="V26" i="3"/>
  <c r="V18" i="3"/>
  <c r="V10" i="3"/>
  <c r="AA80" i="3"/>
  <c r="V7" i="3"/>
  <c r="AA70" i="3"/>
  <c r="AA46" i="3"/>
  <c r="AA14" i="3"/>
  <c r="AA85" i="3"/>
  <c r="AA77" i="3"/>
  <c r="AA69" i="3"/>
  <c r="AA61" i="3"/>
  <c r="AA53" i="3"/>
  <c r="AA45" i="3"/>
  <c r="AA37" i="3"/>
  <c r="AA29" i="3"/>
  <c r="AA21" i="3"/>
  <c r="AA13" i="3"/>
  <c r="V87" i="3"/>
  <c r="V79" i="3"/>
  <c r="V71" i="3"/>
  <c r="V63" i="3"/>
  <c r="V55" i="3"/>
  <c r="V47" i="3"/>
  <c r="V39" i="3"/>
  <c r="V31" i="3"/>
  <c r="V23" i="3"/>
  <c r="V15" i="3"/>
  <c r="AA48" i="3"/>
  <c r="AA86" i="3"/>
  <c r="AA62" i="3"/>
  <c r="AA38" i="3"/>
  <c r="AA22" i="3"/>
  <c r="AA84" i="3"/>
  <c r="AA76" i="3"/>
  <c r="AA68" i="3"/>
  <c r="AA60" i="3"/>
  <c r="AA52" i="3"/>
  <c r="AA44" i="3"/>
  <c r="AA36" i="3"/>
  <c r="AA28" i="3"/>
  <c r="AA20" i="3"/>
  <c r="AA12" i="3"/>
  <c r="V86" i="3"/>
  <c r="V78" i="3"/>
  <c r="V70" i="3"/>
  <c r="V62" i="3"/>
  <c r="V54" i="3"/>
  <c r="V46" i="3"/>
  <c r="V38" i="3"/>
  <c r="V30" i="3"/>
  <c r="V22" i="3"/>
  <c r="V14" i="3"/>
  <c r="AA64" i="3"/>
  <c r="AA78" i="3"/>
  <c r="AA54" i="3"/>
  <c r="AA30" i="3"/>
  <c r="AA83" i="3"/>
  <c r="AA75" i="3"/>
  <c r="AA67" i="3"/>
  <c r="AA59" i="3"/>
  <c r="AA51" i="3"/>
  <c r="AA43" i="3"/>
  <c r="AA35" i="3"/>
  <c r="AA27" i="3"/>
  <c r="AA19" i="3"/>
  <c r="AA11" i="3"/>
  <c r="V85" i="3"/>
  <c r="V77" i="3"/>
  <c r="V69" i="3"/>
  <c r="V61" i="3"/>
  <c r="V53" i="3"/>
  <c r="V45" i="3"/>
  <c r="V37" i="3"/>
  <c r="V29" i="3"/>
  <c r="V21" i="3"/>
  <c r="V13" i="3"/>
  <c r="AF10" i="3"/>
  <c r="V83" i="3"/>
  <c r="V75" i="3"/>
  <c r="V67" i="3"/>
  <c r="V59" i="3"/>
  <c r="V51" i="3"/>
  <c r="V43" i="3"/>
  <c r="V35" i="3"/>
  <c r="V27" i="3"/>
  <c r="V19" i="3"/>
  <c r="V11" i="3"/>
  <c r="AA88" i="3"/>
  <c r="AA56" i="3"/>
  <c r="AA32" i="3"/>
  <c r="AA8" i="3"/>
  <c r="AA72" i="3"/>
  <c r="AA40" i="3"/>
  <c r="AA24" i="3"/>
  <c r="AA16" i="3"/>
  <c r="AA87" i="3"/>
  <c r="AA79" i="3"/>
  <c r="AA71" i="3"/>
  <c r="AA63" i="3"/>
  <c r="AA55" i="3"/>
  <c r="AA47" i="3"/>
  <c r="AA39" i="3"/>
  <c r="AA31" i="3"/>
  <c r="AA23" i="3"/>
  <c r="AA15" i="3"/>
  <c r="V81" i="3"/>
  <c r="V73" i="3"/>
  <c r="V65" i="3"/>
  <c r="V57" i="3"/>
  <c r="V49" i="3"/>
  <c r="V41" i="3"/>
  <c r="V33" i="3"/>
  <c r="V25" i="3"/>
  <c r="V17" i="3"/>
  <c r="V9" i="3"/>
  <c r="AD38" i="4"/>
  <c r="S38" i="4" s="1" a="1"/>
  <c r="S38" i="4" s="1"/>
  <c r="AD80" i="4"/>
  <c r="AD34" i="4"/>
  <c r="S34" i="4" s="1" a="1"/>
  <c r="S34" i="4" s="1"/>
  <c r="AD27" i="4"/>
  <c r="AD53" i="4"/>
  <c r="AD10" i="4"/>
  <c r="AD63" i="4"/>
  <c r="AD55" i="4"/>
  <c r="AD59" i="4"/>
  <c r="S59" i="4" s="1" a="1"/>
  <c r="S59" i="4" s="1"/>
  <c r="AD40" i="4"/>
  <c r="AD85" i="4"/>
  <c r="AD7" i="4"/>
  <c r="AD35" i="4"/>
  <c r="AD11" i="4"/>
  <c r="AD82" i="4"/>
  <c r="AD47" i="4"/>
  <c r="AD29" i="4"/>
  <c r="AD50" i="4"/>
  <c r="AD39" i="4"/>
  <c r="AD26" i="4"/>
  <c r="AD19" i="4"/>
  <c r="AD45" i="4"/>
  <c r="AD21" i="4"/>
  <c r="AD66" i="4"/>
  <c r="AD42" i="4"/>
  <c r="AD31" i="4"/>
  <c r="AD76" i="4"/>
  <c r="AD14" i="4"/>
  <c r="AD36" i="4"/>
  <c r="AD65" i="4"/>
  <c r="AD41" i="4"/>
  <c r="AD6" i="4"/>
  <c r="AD12" i="4"/>
  <c r="AD17" i="4"/>
  <c r="AD52" i="4"/>
  <c r="AD81" i="4"/>
  <c r="AD22" i="4"/>
  <c r="AD28" i="4"/>
  <c r="AD33" i="4"/>
  <c r="AD86" i="4"/>
  <c r="S86" i="4" s="1" a="1"/>
  <c r="S86" i="4" s="1"/>
  <c r="AD9" i="4"/>
  <c r="AD44" i="4"/>
  <c r="AD73" i="4"/>
  <c r="AD49" i="4"/>
  <c r="AD70" i="4"/>
  <c r="AD74" i="4"/>
  <c r="AD84" i="4"/>
  <c r="AD20" i="4"/>
  <c r="AD54" i="4"/>
  <c r="AD25" i="4"/>
  <c r="AD62" i="4"/>
  <c r="AD67" i="4"/>
  <c r="AD43" i="4"/>
  <c r="AD46" i="4"/>
  <c r="AD78" i="4"/>
  <c r="AD79" i="4"/>
  <c r="AD15" i="4"/>
  <c r="AD60" i="4"/>
  <c r="C42" i="4"/>
  <c r="Y6" i="4"/>
  <c r="AC7" i="3"/>
  <c r="AF7" i="3" s="1"/>
  <c r="AC81" i="3"/>
  <c r="AF81" i="3" s="1"/>
  <c r="AC73" i="3"/>
  <c r="AF73" i="3" s="1"/>
  <c r="AC65" i="3"/>
  <c r="AF65" i="3" s="1"/>
  <c r="AC57" i="3"/>
  <c r="AF57" i="3" s="1"/>
  <c r="AC49" i="3"/>
  <c r="AF49" i="3" s="1"/>
  <c r="AC41" i="3"/>
  <c r="AF41" i="3" s="1"/>
  <c r="AC33" i="3"/>
  <c r="AF33" i="3" s="1"/>
  <c r="AC25" i="3"/>
  <c r="AF25" i="3" s="1"/>
  <c r="AC17" i="3"/>
  <c r="AF17" i="3" s="1"/>
  <c r="AC9" i="3"/>
  <c r="AF9" i="3" s="1"/>
  <c r="AC72" i="3"/>
  <c r="AF72" i="3" s="1"/>
  <c r="AC26" i="3"/>
  <c r="AF26" i="3" s="1"/>
  <c r="AC82" i="3"/>
  <c r="AF82" i="3" s="1"/>
  <c r="AC66" i="3"/>
  <c r="AF66" i="3" s="1"/>
  <c r="AC50" i="3"/>
  <c r="AF50" i="3" s="1"/>
  <c r="AC42" i="3"/>
  <c r="AF42" i="3" s="1"/>
  <c r="AC18" i="3"/>
  <c r="AF18" i="3" s="1"/>
  <c r="AC88" i="3"/>
  <c r="AF88" i="3" s="1"/>
  <c r="AC80" i="3"/>
  <c r="AF80" i="3" s="1"/>
  <c r="AC64" i="3"/>
  <c r="AF64" i="3" s="1"/>
  <c r="AC56" i="3"/>
  <c r="AF56" i="3" s="1"/>
  <c r="AC48" i="3"/>
  <c r="AF48" i="3" s="1"/>
  <c r="AC40" i="3"/>
  <c r="AF40" i="3" s="1"/>
  <c r="AC32" i="3"/>
  <c r="AF32" i="3" s="1"/>
  <c r="AC24" i="3"/>
  <c r="AF24" i="3" s="1"/>
  <c r="AC16" i="3"/>
  <c r="AF16" i="3" s="1"/>
  <c r="AC8" i="3"/>
  <c r="AF8" i="3" s="1"/>
  <c r="AC87" i="3"/>
  <c r="AF87" i="3" s="1"/>
  <c r="AC79" i="3"/>
  <c r="AF79" i="3" s="1"/>
  <c r="AC71" i="3"/>
  <c r="AF71" i="3" s="1"/>
  <c r="AC63" i="3"/>
  <c r="AF63" i="3" s="1"/>
  <c r="AC55" i="3"/>
  <c r="AF55" i="3" s="1"/>
  <c r="AC47" i="3"/>
  <c r="AF47" i="3" s="1"/>
  <c r="AC39" i="3"/>
  <c r="AF39" i="3" s="1"/>
  <c r="AC31" i="3"/>
  <c r="AF31" i="3" s="1"/>
  <c r="AC23" i="3"/>
  <c r="AF23" i="3" s="1"/>
  <c r="AC15" i="3"/>
  <c r="AF15" i="3" s="1"/>
  <c r="AC86" i="3"/>
  <c r="AF86" i="3" s="1"/>
  <c r="AC78" i="3"/>
  <c r="AF78" i="3" s="1"/>
  <c r="AC70" i="3"/>
  <c r="AF70" i="3" s="1"/>
  <c r="AC62" i="3"/>
  <c r="AF62" i="3" s="1"/>
  <c r="AC54" i="3"/>
  <c r="AF54" i="3" s="1"/>
  <c r="AC46" i="3"/>
  <c r="AF46" i="3" s="1"/>
  <c r="AC38" i="3"/>
  <c r="AF38" i="3" s="1"/>
  <c r="AC30" i="3"/>
  <c r="AF30" i="3" s="1"/>
  <c r="AC22" i="3"/>
  <c r="AF22" i="3" s="1"/>
  <c r="AC14" i="3"/>
  <c r="AF14" i="3" s="1"/>
  <c r="AC85" i="3"/>
  <c r="AF85" i="3" s="1"/>
  <c r="AC77" i="3"/>
  <c r="AF77" i="3" s="1"/>
  <c r="AC69" i="3"/>
  <c r="AF69" i="3" s="1"/>
  <c r="AC61" i="3"/>
  <c r="AF61" i="3" s="1"/>
  <c r="AC53" i="3"/>
  <c r="AF53" i="3" s="1"/>
  <c r="AC45" i="3"/>
  <c r="AF45" i="3" s="1"/>
  <c r="AC37" i="3"/>
  <c r="AF37" i="3" s="1"/>
  <c r="AC29" i="3"/>
  <c r="AF29" i="3" s="1"/>
  <c r="AC21" i="3"/>
  <c r="AF21" i="3" s="1"/>
  <c r="AC13" i="3"/>
  <c r="AF13" i="3" s="1"/>
  <c r="AC84" i="3"/>
  <c r="AF84" i="3" s="1"/>
  <c r="AC76" i="3"/>
  <c r="AF76" i="3" s="1"/>
  <c r="AC68" i="3"/>
  <c r="AF68" i="3" s="1"/>
  <c r="AC60" i="3"/>
  <c r="AF60" i="3" s="1"/>
  <c r="AC52" i="3"/>
  <c r="AF52" i="3" s="1"/>
  <c r="AC44" i="3"/>
  <c r="AF44" i="3" s="1"/>
  <c r="AC36" i="3"/>
  <c r="AF36" i="3" s="1"/>
  <c r="AC28" i="3"/>
  <c r="AF28" i="3" s="1"/>
  <c r="AC20" i="3"/>
  <c r="AF20" i="3" s="1"/>
  <c r="AC12" i="3"/>
  <c r="AF12" i="3" s="1"/>
  <c r="AC83" i="3"/>
  <c r="AF83" i="3" s="1"/>
  <c r="AC75" i="3"/>
  <c r="AF75" i="3" s="1"/>
  <c r="AC67" i="3"/>
  <c r="AF67" i="3" s="1"/>
  <c r="AC59" i="3"/>
  <c r="AF59" i="3" s="1"/>
  <c r="AC51" i="3"/>
  <c r="AF51" i="3" s="1"/>
  <c r="AC43" i="3"/>
  <c r="AF43" i="3" s="1"/>
  <c r="AC35" i="3"/>
  <c r="AF35" i="3" s="1"/>
  <c r="AC27" i="3"/>
  <c r="AF27" i="3" s="1"/>
  <c r="AC19" i="3"/>
  <c r="AF19" i="3" s="1"/>
  <c r="AC11" i="3"/>
  <c r="AF11" i="3" s="1"/>
  <c r="AC74" i="3"/>
  <c r="AF74" i="3" s="1"/>
  <c r="AC58" i="3"/>
  <c r="AF58" i="3" s="1"/>
  <c r="AC34" i="3"/>
  <c r="AF34" i="3" s="1"/>
  <c r="S48" i="4" l="1" a="1"/>
  <c r="S48" i="4" s="1"/>
  <c r="C14" i="4"/>
  <c r="G25" i="1"/>
  <c r="G26" i="1" s="1"/>
  <c r="S8" i="4" a="1"/>
  <c r="S8" i="4" s="1"/>
  <c r="S16" i="4" a="1"/>
  <c r="S16" i="4" s="1"/>
  <c r="P69" i="3" a="1"/>
  <c r="P69" i="3" s="1"/>
  <c r="P70" i="3" a="1"/>
  <c r="P70" i="3" s="1"/>
  <c r="P27" i="3" a="1"/>
  <c r="P27" i="3" s="1"/>
  <c r="P60" i="3" a="1"/>
  <c r="P60" i="3" s="1"/>
  <c r="P50" i="3" a="1"/>
  <c r="P50" i="3" s="1"/>
  <c r="P63" i="3" a="1"/>
  <c r="P63" i="3" s="1"/>
  <c r="P43" i="3" a="1"/>
  <c r="P43" i="3" s="1"/>
  <c r="P21" i="3" a="1"/>
  <c r="P21" i="3" s="1"/>
  <c r="P85" i="3" a="1"/>
  <c r="P85" i="3" s="1"/>
  <c r="P22" i="3" a="1"/>
  <c r="P22" i="3" s="1"/>
  <c r="P15" i="3" a="1"/>
  <c r="P15" i="3" s="1"/>
  <c r="P79" i="3" a="1"/>
  <c r="P79" i="3" s="1"/>
  <c r="P66" i="3" a="1"/>
  <c r="P66" i="3" s="1"/>
  <c r="P12" i="3" a="1"/>
  <c r="P12" i="3" s="1"/>
  <c r="P76" i="3" a="1"/>
  <c r="P76" i="3" s="1"/>
  <c r="P56" i="3" a="1"/>
  <c r="P56" i="3" s="1"/>
  <c r="P40" i="3" a="1"/>
  <c r="P40" i="3" s="1"/>
  <c r="P65" i="3" a="1"/>
  <c r="P65" i="3" s="1"/>
  <c r="P35" i="3" a="1"/>
  <c r="P35" i="3" s="1"/>
  <c r="P13" i="3" a="1"/>
  <c r="P13" i="3" s="1"/>
  <c r="P77" i="3" a="1"/>
  <c r="P77" i="3" s="1"/>
  <c r="P14" i="3" a="1"/>
  <c r="P14" i="3" s="1"/>
  <c r="P78" i="3" a="1"/>
  <c r="P78" i="3" s="1"/>
  <c r="P71" i="3" a="1"/>
  <c r="P71" i="3" s="1"/>
  <c r="P7" i="3" a="1"/>
  <c r="P7" i="3" s="1"/>
  <c r="P58" i="3" a="1"/>
  <c r="P58" i="3" s="1"/>
  <c r="P68" i="3" a="1"/>
  <c r="P68" i="3" s="1"/>
  <c r="P48" i="3" a="1"/>
  <c r="P48" i="3" s="1"/>
  <c r="P17" i="3" a="1"/>
  <c r="P17" i="3" s="1"/>
  <c r="P81" i="3" a="1"/>
  <c r="P81" i="3" s="1"/>
  <c r="P51" i="3" a="1"/>
  <c r="P51" i="3" s="1"/>
  <c r="P29" i="3" a="1"/>
  <c r="P29" i="3" s="1"/>
  <c r="P30" i="3" a="1"/>
  <c r="P30" i="3" s="1"/>
  <c r="P23" i="3" a="1"/>
  <c r="P23" i="3" s="1"/>
  <c r="P87" i="3" a="1"/>
  <c r="P87" i="3" s="1"/>
  <c r="P10" i="3" a="1"/>
  <c r="P10" i="3" s="1"/>
  <c r="P74" i="3" a="1"/>
  <c r="P74" i="3" s="1"/>
  <c r="P20" i="3" a="1"/>
  <c r="P20" i="3" s="1"/>
  <c r="P84" i="3" a="1"/>
  <c r="P84" i="3" s="1"/>
  <c r="P64" i="3" a="1"/>
  <c r="P64" i="3" s="1"/>
  <c r="P57" i="3" a="1"/>
  <c r="P57" i="3" s="1"/>
  <c r="P86" i="3" a="1"/>
  <c r="P86" i="3" s="1"/>
  <c r="P25" i="3" a="1"/>
  <c r="P25" i="3" s="1"/>
  <c r="P59" i="3" a="1"/>
  <c r="P59" i="3" s="1"/>
  <c r="P37" i="3" a="1"/>
  <c r="P37" i="3" s="1"/>
  <c r="P38" i="3" a="1"/>
  <c r="P38" i="3" s="1"/>
  <c r="P31" i="3" a="1"/>
  <c r="P31" i="3" s="1"/>
  <c r="P18" i="3" a="1"/>
  <c r="P18" i="3" s="1"/>
  <c r="P82" i="3" a="1"/>
  <c r="P82" i="3" s="1"/>
  <c r="P28" i="3" a="1"/>
  <c r="P28" i="3" s="1"/>
  <c r="P8" i="3" a="1"/>
  <c r="P8" i="3" s="1"/>
  <c r="P72" i="3" a="1"/>
  <c r="P72" i="3" s="1"/>
  <c r="P33" i="3" a="1"/>
  <c r="P33" i="3" s="1"/>
  <c r="P67" i="3" a="1"/>
  <c r="P67" i="3" s="1"/>
  <c r="P45" i="3" a="1"/>
  <c r="P45" i="3" s="1"/>
  <c r="P46" i="3" a="1"/>
  <c r="P46" i="3" s="1"/>
  <c r="P39" i="3" a="1"/>
  <c r="P39" i="3" s="1"/>
  <c r="P26" i="3" a="1"/>
  <c r="P26" i="3" s="1"/>
  <c r="P36" i="3" a="1"/>
  <c r="P36" i="3" s="1"/>
  <c r="P16" i="3" a="1"/>
  <c r="P16" i="3" s="1"/>
  <c r="P80" i="3" a="1"/>
  <c r="P80" i="3" s="1"/>
  <c r="P9" i="3" a="1"/>
  <c r="P9" i="3" s="1"/>
  <c r="P41" i="3" a="1"/>
  <c r="P41" i="3" s="1"/>
  <c r="P11" i="3" a="1"/>
  <c r="P11" i="3" s="1"/>
  <c r="P75" i="3" a="1"/>
  <c r="P75" i="3" s="1"/>
  <c r="P53" i="3" a="1"/>
  <c r="P53" i="3" s="1"/>
  <c r="P54" i="3" a="1"/>
  <c r="P54" i="3" s="1"/>
  <c r="P47" i="3" a="1"/>
  <c r="P47" i="3" s="1"/>
  <c r="P34" i="3" a="1"/>
  <c r="P34" i="3" s="1"/>
  <c r="P44" i="3" a="1"/>
  <c r="P44" i="3" s="1"/>
  <c r="P24" i="3" a="1"/>
  <c r="P24" i="3" s="1"/>
  <c r="P88" i="3" a="1"/>
  <c r="P88" i="3" s="1"/>
  <c r="P73" i="3" a="1"/>
  <c r="P73" i="3" s="1"/>
  <c r="P49" i="3" a="1"/>
  <c r="P49" i="3" s="1"/>
  <c r="P19" i="3" a="1"/>
  <c r="P19" i="3" s="1"/>
  <c r="P83" i="3" a="1"/>
  <c r="P83" i="3" s="1"/>
  <c r="P61" i="3" a="1"/>
  <c r="P61" i="3" s="1"/>
  <c r="P62" i="3" a="1"/>
  <c r="P62" i="3" s="1"/>
  <c r="P55" i="3" a="1"/>
  <c r="P55" i="3" s="1"/>
  <c r="P42" i="3" a="1"/>
  <c r="P42" i="3" s="1"/>
  <c r="P52" i="3" a="1"/>
  <c r="P52" i="3" s="1"/>
  <c r="P32" i="3" a="1"/>
  <c r="P32" i="3" s="1"/>
  <c r="C31" i="4"/>
  <c r="S67" i="4" a="1"/>
  <c r="S67" i="4" s="1"/>
  <c r="S82" i="4" a="1"/>
  <c r="S82" i="4" s="1"/>
  <c r="S60" i="4" a="1"/>
  <c r="S60" i="4" s="1"/>
  <c r="S66" i="4" a="1"/>
  <c r="S66" i="4" s="1"/>
  <c r="S12" i="4" a="1"/>
  <c r="S12" i="4" s="1"/>
  <c r="S55" i="4" a="1"/>
  <c r="S55" i="4" s="1"/>
  <c r="S21" i="4" a="1"/>
  <c r="S21" i="4" s="1"/>
  <c r="S47" i="4" a="1"/>
  <c r="S47" i="4" s="1"/>
  <c r="S63" i="4" a="1"/>
  <c r="S63" i="4" s="1"/>
  <c r="S46" i="4" a="1"/>
  <c r="S46" i="4" s="1"/>
  <c r="S11" i="4" a="1"/>
  <c r="S11" i="4" s="1"/>
  <c r="S76" i="4" a="1"/>
  <c r="S76" i="4" s="1"/>
  <c r="S14" i="4" a="1"/>
  <c r="S14" i="4" s="1"/>
  <c r="S13" i="4" a="1"/>
  <c r="S13" i="4" s="1"/>
  <c r="S87" i="4" a="1"/>
  <c r="S87" i="4" s="1"/>
  <c r="S78" i="4" a="1"/>
  <c r="S78" i="4" s="1"/>
  <c r="S68" i="4" a="1"/>
  <c r="S68" i="4" s="1"/>
  <c r="S29" i="4" a="1"/>
  <c r="S29" i="4" s="1"/>
  <c r="S30" i="4" a="1"/>
  <c r="S30" i="4" s="1"/>
  <c r="S61" i="4" a="1"/>
  <c r="S61" i="4" s="1"/>
  <c r="S71" i="4" a="1"/>
  <c r="S71" i="4" s="1"/>
  <c r="S74" i="4" a="1"/>
  <c r="S74" i="4" s="1"/>
  <c r="S65" i="4" a="1"/>
  <c r="S65" i="4" s="1"/>
  <c r="S23" i="4" a="1"/>
  <c r="S23" i="4" s="1"/>
  <c r="S36" i="4" a="1"/>
  <c r="S36" i="4" s="1"/>
  <c r="S19" i="4" a="1"/>
  <c r="S19" i="4" s="1"/>
  <c r="S25" i="4" a="1"/>
  <c r="S25" i="4" s="1"/>
  <c r="S75" i="4" a="1"/>
  <c r="S75" i="4" s="1"/>
  <c r="S70" i="4" a="1"/>
  <c r="S70" i="4" s="1"/>
  <c r="S52" i="4" a="1"/>
  <c r="S52" i="4" s="1"/>
  <c r="S77" i="4" a="1"/>
  <c r="S77" i="4" s="1"/>
  <c r="S79" i="4" a="1"/>
  <c r="S79" i="4" s="1"/>
  <c r="S20" i="4" a="1"/>
  <c r="S20" i="4" s="1"/>
  <c r="S33" i="4" a="1"/>
  <c r="S33" i="4" s="1"/>
  <c r="S41" i="4" a="1"/>
  <c r="S41" i="4" s="1"/>
  <c r="S43" i="4" a="1"/>
  <c r="S43" i="4" s="1"/>
  <c r="S35" i="4" a="1"/>
  <c r="S35" i="4" s="1"/>
  <c r="S53" i="4" a="1"/>
  <c r="S53" i="4" s="1"/>
  <c r="S51" i="4" a="1"/>
  <c r="S51" i="4" s="1"/>
  <c r="S73" i="4" a="1"/>
  <c r="S73" i="4" s="1"/>
  <c r="S15" i="4" a="1"/>
  <c r="S15" i="4" s="1"/>
  <c r="S83" i="4" a="1"/>
  <c r="S83" i="4" s="1"/>
  <c r="S28" i="4" a="1"/>
  <c r="S28" i="4" s="1"/>
  <c r="S45" i="4" a="1"/>
  <c r="S45" i="4" s="1"/>
  <c r="S81" i="4" a="1"/>
  <c r="S81" i="4" s="1"/>
  <c r="S26" i="4" a="1"/>
  <c r="S26" i="4" s="1"/>
  <c r="S18" i="4" a="1"/>
  <c r="S18" i="4" s="1"/>
  <c r="S62" i="4" a="1"/>
  <c r="S62" i="4" s="1"/>
  <c r="S44" i="4" a="1"/>
  <c r="S44" i="4" s="1"/>
  <c r="S17" i="4" a="1"/>
  <c r="S17" i="4" s="1"/>
  <c r="S31" i="4" a="1"/>
  <c r="S31" i="4" s="1"/>
  <c r="S37" i="4" a="1"/>
  <c r="S37" i="4" s="1"/>
  <c r="S9" i="4" a="1"/>
  <c r="S9" i="4" s="1"/>
  <c r="S42" i="4" a="1"/>
  <c r="S42" i="4" s="1"/>
  <c r="S80" i="4" a="1"/>
  <c r="S80" i="4" s="1"/>
  <c r="S22" i="4" a="1"/>
  <c r="S22" i="4" s="1"/>
  <c r="S84" i="4" a="1"/>
  <c r="S84" i="4" s="1"/>
  <c r="S6" i="4" a="1"/>
  <c r="S6" i="4" s="1"/>
  <c r="S49" i="4" a="1"/>
  <c r="S49" i="4" s="1"/>
  <c r="S7" i="4" a="1"/>
  <c r="S7" i="4" s="1"/>
  <c r="S27" i="4" a="1"/>
  <c r="S27" i="4" s="1"/>
  <c r="S69" i="4" a="1"/>
  <c r="S69" i="4" s="1"/>
  <c r="S39" i="4" a="1"/>
  <c r="S39" i="4" s="1"/>
  <c r="S85" i="4" a="1"/>
  <c r="S85" i="4" s="1"/>
  <c r="S50" i="4" a="1"/>
  <c r="S50" i="4" s="1"/>
  <c r="S40" i="4" a="1"/>
  <c r="S40" i="4" s="1"/>
  <c r="S10" i="4" a="1"/>
  <c r="S10" i="4" s="1"/>
  <c r="S54" i="4" a="1"/>
  <c r="S54" i="4" s="1"/>
  <c r="G32" i="1"/>
  <c r="C17" i="4" l="1"/>
  <c r="C3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<sst xmlns="http://schemas.openxmlformats.org/spreadsheetml/2006/main" count="468" uniqueCount="258">
  <si>
    <t>V</t>
  </si>
  <si>
    <t>kΩ</t>
  </si>
  <si>
    <t>nF</t>
  </si>
  <si>
    <t>A</t>
  </si>
  <si>
    <t>kHz</t>
  </si>
  <si>
    <t>nH</t>
  </si>
  <si>
    <t>%</t>
  </si>
  <si>
    <t>Yes</t>
  </si>
  <si>
    <t>µF</t>
  </si>
  <si>
    <t>pF</t>
  </si>
  <si>
    <r>
      <t>Input Voltage (V</t>
    </r>
    <r>
      <rPr>
        <b/>
        <vertAlign val="subscript"/>
        <sz val="11"/>
        <color theme="1"/>
        <rFont val="Calibri"/>
        <family val="2"/>
        <scheme val="minor"/>
      </rPr>
      <t>IN</t>
    </r>
    <r>
      <rPr>
        <b/>
        <sz val="11"/>
        <color theme="1"/>
        <rFont val="Calibri"/>
        <family val="2"/>
        <scheme val="minor"/>
      </rPr>
      <t>)</t>
    </r>
  </si>
  <si>
    <r>
      <t>Output Voltage (V</t>
    </r>
    <r>
      <rPr>
        <b/>
        <vertAlign val="subscript"/>
        <sz val="11"/>
        <color theme="1"/>
        <rFont val="Calibri"/>
        <family val="2"/>
        <scheme val="minor"/>
      </rPr>
      <t>OUT</t>
    </r>
    <r>
      <rPr>
        <b/>
        <sz val="11"/>
        <color theme="1"/>
        <rFont val="Calibri"/>
        <family val="2"/>
        <scheme val="minor"/>
      </rPr>
      <t>)</t>
    </r>
  </si>
  <si>
    <r>
      <t>Max Load Current (I</t>
    </r>
    <r>
      <rPr>
        <b/>
        <vertAlign val="subscript"/>
        <sz val="11"/>
        <color theme="1"/>
        <rFont val="Calibri"/>
        <family val="2"/>
        <scheme val="minor"/>
      </rPr>
      <t>OUT(MAX)</t>
    </r>
    <r>
      <rPr>
        <b/>
        <sz val="11"/>
        <color theme="1"/>
        <rFont val="Calibri"/>
        <family val="2"/>
        <scheme val="minor"/>
      </rPr>
      <t>)</t>
    </r>
  </si>
  <si>
    <t>mA/V</t>
  </si>
  <si>
    <r>
      <t>Internal Voltage Reference (V</t>
    </r>
    <r>
      <rPr>
        <b/>
        <vertAlign val="subscript"/>
        <sz val="11"/>
        <color theme="1"/>
        <rFont val="Calibri"/>
        <family val="2"/>
        <scheme val="minor"/>
      </rPr>
      <t>REF</t>
    </r>
    <r>
      <rPr>
        <b/>
        <sz val="11"/>
        <color theme="1"/>
        <rFont val="Calibri"/>
        <family val="2"/>
        <scheme val="minor"/>
      </rPr>
      <t>)</t>
    </r>
  </si>
  <si>
    <r>
      <t>k</t>
    </r>
    <r>
      <rPr>
        <sz val="11"/>
        <color theme="1"/>
        <rFont val="Calibri"/>
        <family val="2"/>
      </rPr>
      <t>Ω</t>
    </r>
  </si>
  <si>
    <r>
      <t>m</t>
    </r>
    <r>
      <rPr>
        <sz val="11"/>
        <color theme="1"/>
        <rFont val="Calibri"/>
        <family val="2"/>
      </rPr>
      <t>Ω</t>
    </r>
  </si>
  <si>
    <t>Duty Cycle (d)</t>
  </si>
  <si>
    <r>
      <t>Switching Frequency (f</t>
    </r>
    <r>
      <rPr>
        <b/>
        <vertAlign val="subscript"/>
        <sz val="11"/>
        <color theme="1"/>
        <rFont val="Calibri"/>
        <family val="2"/>
        <scheme val="minor"/>
      </rPr>
      <t>SW</t>
    </r>
    <r>
      <rPr>
        <b/>
        <sz val="11"/>
        <color theme="1"/>
        <rFont val="Calibri"/>
        <family val="2"/>
        <scheme val="minor"/>
      </rPr>
      <t>)</t>
    </r>
  </si>
  <si>
    <t>mΩ</t>
  </si>
  <si>
    <r>
      <t>Calculated Compensation Resistor (R</t>
    </r>
    <r>
      <rPr>
        <b/>
        <vertAlign val="subscript"/>
        <sz val="11"/>
        <color theme="1"/>
        <rFont val="Calibri"/>
        <family val="2"/>
        <scheme val="minor"/>
      </rPr>
      <t>COMP</t>
    </r>
    <r>
      <rPr>
        <b/>
        <sz val="11"/>
        <color theme="1"/>
        <rFont val="Calibri"/>
        <family val="2"/>
        <scheme val="minor"/>
      </rPr>
      <t>)</t>
    </r>
  </si>
  <si>
    <r>
      <t>Crossover Frequency (f</t>
    </r>
    <r>
      <rPr>
        <b/>
        <vertAlign val="subscript"/>
        <sz val="11"/>
        <color theme="1"/>
        <rFont val="Calibri"/>
        <family val="2"/>
        <scheme val="minor"/>
      </rPr>
      <t>T</t>
    </r>
    <r>
      <rPr>
        <b/>
        <sz val="11"/>
        <color theme="1"/>
        <rFont val="Calibri"/>
        <family val="2"/>
        <scheme val="minor"/>
      </rPr>
      <t>)</t>
    </r>
  </si>
  <si>
    <r>
      <t>Compensation Capacitor (C</t>
    </r>
    <r>
      <rPr>
        <b/>
        <vertAlign val="subscript"/>
        <sz val="11"/>
        <color theme="1"/>
        <rFont val="Calibri"/>
        <family val="2"/>
        <scheme val="minor"/>
      </rPr>
      <t>COMP</t>
    </r>
    <r>
      <rPr>
        <b/>
        <sz val="11"/>
        <color theme="1"/>
        <rFont val="Calibri"/>
        <family val="2"/>
        <scheme val="minor"/>
      </rPr>
      <t>)</t>
    </r>
  </si>
  <si>
    <r>
      <t>Minimum Pole Capacitor (C</t>
    </r>
    <r>
      <rPr>
        <b/>
        <vertAlign val="subscript"/>
        <sz val="11"/>
        <color theme="1"/>
        <rFont val="Calibri"/>
        <family val="2"/>
        <scheme val="minor"/>
      </rPr>
      <t>P(MIN)</t>
    </r>
    <r>
      <rPr>
        <b/>
        <sz val="11"/>
        <color theme="1"/>
        <rFont val="Calibri"/>
        <family val="2"/>
        <scheme val="minor"/>
      </rPr>
      <t>)</t>
    </r>
  </si>
  <si>
    <r>
      <t>Output Load Step (I</t>
    </r>
    <r>
      <rPr>
        <b/>
        <vertAlign val="subscript"/>
        <sz val="11"/>
        <color theme="1"/>
        <rFont val="Calibri"/>
        <family val="2"/>
        <scheme val="minor"/>
      </rPr>
      <t>STEP</t>
    </r>
    <r>
      <rPr>
        <b/>
        <sz val="11"/>
        <color theme="1"/>
        <rFont val="Calibri"/>
        <family val="2"/>
        <scheme val="minor"/>
      </rPr>
      <t>)</t>
    </r>
  </si>
  <si>
    <r>
      <t>Frequency Select Resistor (R</t>
    </r>
    <r>
      <rPr>
        <b/>
        <vertAlign val="subscript"/>
        <sz val="11"/>
        <color theme="1"/>
        <rFont val="Calibri"/>
        <family val="2"/>
        <scheme val="minor"/>
      </rPr>
      <t>FS</t>
    </r>
    <r>
      <rPr>
        <b/>
        <sz val="11"/>
        <color theme="1"/>
        <rFont val="Calibri"/>
        <family val="2"/>
        <scheme val="minor"/>
      </rPr>
      <t>)</t>
    </r>
  </si>
  <si>
    <r>
      <t>Total Output Capacitance (C</t>
    </r>
    <r>
      <rPr>
        <b/>
        <vertAlign val="subscript"/>
        <sz val="11"/>
        <color theme="1"/>
        <rFont val="Calibri"/>
        <family val="2"/>
        <scheme val="minor"/>
      </rPr>
      <t>OUT(TOTAL)</t>
    </r>
    <r>
      <rPr>
        <b/>
        <sz val="11"/>
        <color theme="1"/>
        <rFont val="Calibri"/>
        <family val="2"/>
        <scheme val="minor"/>
      </rPr>
      <t>)</t>
    </r>
  </si>
  <si>
    <r>
      <t>Bulk Output Capacitor Value (C</t>
    </r>
    <r>
      <rPr>
        <b/>
        <vertAlign val="subscript"/>
        <sz val="11"/>
        <color theme="1"/>
        <rFont val="Calibri"/>
        <family val="2"/>
        <scheme val="minor"/>
      </rPr>
      <t>OUT(BULK)</t>
    </r>
    <r>
      <rPr>
        <b/>
        <sz val="11"/>
        <color theme="1"/>
        <rFont val="Calibri"/>
        <family val="2"/>
        <scheme val="minor"/>
      </rPr>
      <t>)</t>
    </r>
  </si>
  <si>
    <t>Bulk Output Capacitor ESR</t>
  </si>
  <si>
    <t>Bulk Output Capacitor ESL</t>
  </si>
  <si>
    <r>
      <t xml:space="preserve">This tool uses nominal design targets to calculate the schematic component values. The  numbers produced by this tool are a starting point for design with the expectation that the values will be adjusted to meet the final application requirements. It is the responsibility of the consumer to make sure that the values produced by this tool meets the requirements of their given application.
</t>
    </r>
    <r>
      <rPr>
        <b/>
        <sz val="8"/>
        <color theme="1"/>
        <rFont val="Calibri"/>
        <family val="2"/>
        <scheme val="minor"/>
      </rPr>
      <t>Software License Agreement</t>
    </r>
    <r>
      <rPr>
        <sz val="8"/>
        <color theme="1"/>
        <rFont val="Calibri"/>
        <family val="2"/>
        <scheme val="minor"/>
      </rPr>
      <t xml:space="preserve">
The software supplied herewith by  Renesas Electronics America Inc. (the "Company") is intended and supplied to you, the Company's customer, for use solely and exclusively on Renesas' Intersil family of products. The software is owned by the Company and/or its supplier, and is protected under applicable copyright laws. All rights are reserved. Any use in violation of the foregoing restrictions may subject the user to criminal sanctions under applicable laws, as well as to civil liability for the breach of the terms and conditions of this license.
THIS SOFTWARE IS PROVIDED IN AN "AS IS" CONDITION. NO WARRANTIES, WHETHER EXPRESS, IMPLIED OR STATUTORY, INCLUDING, BUT NOT LIMITED TO, IMPLIED WARRANTIES OF MERCHANTABILITY AND FITNESS FOR A PARTICULAR PURPOSE APPLY TO THIS SOFTWARE. THE COMPANY SHALL NOT, IN ANY CIRCUMSTANCES, BE LIABLE FOR SPECIAL, INCIDENTAL OR CONSEQUENTIAL DAMAGES, FOR ANY REASON WHATSOEVER.</t>
    </r>
  </si>
  <si>
    <r>
      <t>Selected Inductor Value (L</t>
    </r>
    <r>
      <rPr>
        <b/>
        <vertAlign val="subscript"/>
        <sz val="11"/>
        <color theme="1"/>
        <rFont val="Calibri"/>
        <family val="2"/>
        <scheme val="minor"/>
      </rPr>
      <t>SEL</t>
    </r>
    <r>
      <rPr>
        <b/>
        <sz val="11"/>
        <color theme="1"/>
        <rFont val="Calibri"/>
        <family val="2"/>
        <scheme val="minor"/>
      </rPr>
      <t>)</t>
    </r>
  </si>
  <si>
    <r>
      <t>Selected Compensation Resistor (R</t>
    </r>
    <r>
      <rPr>
        <b/>
        <vertAlign val="subscript"/>
        <sz val="11"/>
        <color theme="1"/>
        <rFont val="Calibri"/>
        <family val="2"/>
        <scheme val="minor"/>
      </rPr>
      <t>COMP</t>
    </r>
    <r>
      <rPr>
        <b/>
        <sz val="11"/>
        <color theme="1"/>
        <rFont val="Calibri"/>
        <family val="2"/>
        <scheme val="minor"/>
      </rPr>
      <t>)</t>
    </r>
  </si>
  <si>
    <r>
      <t>ZTOTAL (</t>
    </r>
    <r>
      <rPr>
        <b/>
        <sz val="11"/>
        <color theme="1"/>
        <rFont val="Calibri"/>
        <family val="2"/>
      </rPr>
      <t>Ω)</t>
    </r>
  </si>
  <si>
    <t>These cells are inputs</t>
  </si>
  <si>
    <t>These cells are the output</t>
  </si>
  <si>
    <r>
      <t>Target Output Impedance (Z</t>
    </r>
    <r>
      <rPr>
        <b/>
        <vertAlign val="subscript"/>
        <sz val="11"/>
        <color theme="1"/>
        <rFont val="Calibri"/>
        <family val="2"/>
        <scheme val="minor"/>
      </rPr>
      <t>TARGET</t>
    </r>
    <r>
      <rPr>
        <b/>
        <sz val="11"/>
        <color theme="1"/>
        <rFont val="Calibri"/>
        <family val="2"/>
        <scheme val="minor"/>
      </rPr>
      <t>)</t>
    </r>
  </si>
  <si>
    <t>No</t>
  </si>
  <si>
    <t>5% (2%)</t>
  </si>
  <si>
    <t>0.5% (0.1%)</t>
  </si>
  <si>
    <t>E6</t>
  </si>
  <si>
    <t>E12</t>
  </si>
  <si>
    <t>E24</t>
  </si>
  <si>
    <t>E48</t>
  </si>
  <si>
    <t>E96</t>
  </si>
  <si>
    <t>E192</t>
  </si>
  <si>
    <t>E14</t>
  </si>
  <si>
    <r>
      <rPr>
        <b/>
        <sz val="11"/>
        <color theme="1"/>
        <rFont val="Calibri"/>
        <family val="2"/>
      </rPr>
      <t>µ</t>
    </r>
    <r>
      <rPr>
        <b/>
        <sz val="7.7"/>
        <color theme="1"/>
        <rFont val="Calibri"/>
        <family val="2"/>
      </rPr>
      <t>F</t>
    </r>
  </si>
  <si>
    <r>
      <t>Target Ripple Current (ΔI</t>
    </r>
    <r>
      <rPr>
        <b/>
        <vertAlign val="subscript"/>
        <sz val="11"/>
        <color theme="1"/>
        <rFont val="Calibri"/>
        <family val="2"/>
        <scheme val="minor"/>
      </rPr>
      <t>L</t>
    </r>
    <r>
      <rPr>
        <b/>
        <sz val="11"/>
        <color theme="1"/>
        <rFont val="Calibri"/>
        <family val="2"/>
        <scheme val="minor"/>
      </rPr>
      <t>)</t>
    </r>
  </si>
  <si>
    <t>Minimum Controllable ON-Time ()</t>
  </si>
  <si>
    <t>ns</t>
  </si>
  <si>
    <t>Minimum Controllable OFF-Time ()</t>
  </si>
  <si>
    <t>Absolute Max</t>
  </si>
  <si>
    <t>Typical</t>
  </si>
  <si>
    <t>Typical ON Time</t>
  </si>
  <si>
    <t>Typical OFF Time</t>
  </si>
  <si>
    <r>
      <t>Bulk Capacitor ESR Equivalent (ESR</t>
    </r>
    <r>
      <rPr>
        <b/>
        <vertAlign val="subscript"/>
        <sz val="11"/>
        <color theme="1"/>
        <rFont val="Calibri"/>
        <family val="2"/>
        <scheme val="minor"/>
      </rPr>
      <t>TOTAL</t>
    </r>
    <r>
      <rPr>
        <b/>
        <sz val="11"/>
        <color theme="1"/>
        <rFont val="Calibri"/>
        <family val="2"/>
        <scheme val="minor"/>
      </rPr>
      <t>)</t>
    </r>
  </si>
  <si>
    <r>
      <t>Bulk Output COUT ESR Zero Frequency (f</t>
    </r>
    <r>
      <rPr>
        <b/>
        <vertAlign val="subscript"/>
        <sz val="11"/>
        <color theme="1"/>
        <rFont val="Calibri"/>
        <family val="2"/>
        <scheme val="minor"/>
      </rPr>
      <t>Z</t>
    </r>
    <r>
      <rPr>
        <b/>
        <sz val="11"/>
        <color theme="1"/>
        <rFont val="Calibri"/>
        <family val="2"/>
        <scheme val="minor"/>
      </rPr>
      <t>)</t>
    </r>
  </si>
  <si>
    <t>y-value</t>
  </si>
  <si>
    <t>Total Quantity</t>
  </si>
  <si>
    <t>T541X476M035AH6510</t>
  </si>
  <si>
    <t>04052-062MZ</t>
  </si>
  <si>
    <t>MFR PN</t>
  </si>
  <si>
    <t>ESR (mΩ)</t>
  </si>
  <si>
    <r>
      <t>CAP (</t>
    </r>
    <r>
      <rPr>
        <b/>
        <sz val="11"/>
        <color theme="1"/>
        <rFont val="Calibri"/>
        <family val="2"/>
      </rPr>
      <t>µ</t>
    </r>
    <r>
      <rPr>
        <b/>
        <sz val="11"/>
        <color theme="1"/>
        <rFont val="Calibri"/>
        <family val="2"/>
        <scheme val="minor"/>
      </rPr>
      <t>F)</t>
    </r>
  </si>
  <si>
    <t>Volt Rating (V)</t>
  </si>
  <si>
    <t>RMS Current @ 85C (A)</t>
  </si>
  <si>
    <t>DLA/ESCC</t>
  </si>
  <si>
    <t>301200405#476*E0065</t>
  </si>
  <si>
    <t>TES E 476 * 025</t>
  </si>
  <si>
    <t>RMS Voltage @ 85C (V)</t>
  </si>
  <si>
    <r>
      <t>Target Max ΔVIN due to Load Step (</t>
    </r>
    <r>
      <rPr>
        <b/>
        <sz val="11"/>
        <color theme="1"/>
        <rFont val="Calibri"/>
        <family val="2"/>
      </rPr>
      <t>ΔV</t>
    </r>
    <r>
      <rPr>
        <b/>
        <vertAlign val="subscript"/>
        <sz val="11"/>
        <color theme="1"/>
        <rFont val="Calibri"/>
        <family val="2"/>
      </rPr>
      <t>IN</t>
    </r>
    <r>
      <rPr>
        <b/>
        <vertAlign val="subscript"/>
        <sz val="11"/>
        <color theme="1"/>
        <rFont val="Calibri"/>
        <family val="2"/>
        <scheme val="minor"/>
      </rPr>
      <t>(STEP, MAX)</t>
    </r>
    <r>
      <rPr>
        <b/>
        <sz val="11"/>
        <color theme="1"/>
        <rFont val="Calibri"/>
        <family val="2"/>
        <scheme val="minor"/>
      </rPr>
      <t>)</t>
    </r>
  </si>
  <si>
    <r>
      <t>Target Max RMS Input Ripple Voltage (</t>
    </r>
    <r>
      <rPr>
        <b/>
        <sz val="11"/>
        <color theme="1"/>
        <rFont val="Calibri"/>
        <family val="2"/>
      </rPr>
      <t>ΔV</t>
    </r>
    <r>
      <rPr>
        <b/>
        <vertAlign val="subscript"/>
        <sz val="11"/>
        <color theme="1"/>
        <rFont val="Calibri"/>
        <family val="2"/>
      </rPr>
      <t>IN</t>
    </r>
    <r>
      <rPr>
        <b/>
        <vertAlign val="subscript"/>
        <sz val="11"/>
        <color theme="1"/>
        <rFont val="Calibri"/>
        <family val="2"/>
        <scheme val="minor"/>
      </rPr>
      <t>(RIPPLE, MAX)</t>
    </r>
    <r>
      <rPr>
        <b/>
        <sz val="11"/>
        <color theme="1"/>
        <rFont val="Calibri"/>
        <family val="2"/>
        <scheme val="minor"/>
      </rPr>
      <t>)</t>
    </r>
  </si>
  <si>
    <r>
      <t>In-rush Current (I</t>
    </r>
    <r>
      <rPr>
        <b/>
        <vertAlign val="subscript"/>
        <sz val="11"/>
        <color theme="1"/>
        <rFont val="Calibri"/>
        <family val="2"/>
        <scheme val="minor"/>
      </rPr>
      <t>RUSH</t>
    </r>
    <r>
      <rPr>
        <b/>
        <sz val="11"/>
        <color theme="1"/>
        <rFont val="Calibri"/>
        <family val="2"/>
        <scheme val="minor"/>
      </rPr>
      <t>)</t>
    </r>
  </si>
  <si>
    <t>Bulk</t>
  </si>
  <si>
    <t>MF</t>
  </si>
  <si>
    <t>HF</t>
  </si>
  <si>
    <t>Total</t>
  </si>
  <si>
    <r>
      <t>COUT (</t>
    </r>
    <r>
      <rPr>
        <b/>
        <sz val="11"/>
        <color theme="1"/>
        <rFont val="Calibri"/>
        <family val="2"/>
      </rPr>
      <t>µF)</t>
    </r>
  </si>
  <si>
    <r>
      <t>ESR (m</t>
    </r>
    <r>
      <rPr>
        <b/>
        <sz val="11"/>
        <color theme="1"/>
        <rFont val="Calibri"/>
        <family val="2"/>
      </rPr>
      <t>Ω)</t>
    </r>
  </si>
  <si>
    <t>ESL (nH)</t>
  </si>
  <si>
    <t>Total Input Capacitance ESL</t>
  </si>
  <si>
    <t>Total Ceramic Input Capacitance ESR</t>
  </si>
  <si>
    <t>MHz</t>
  </si>
  <si>
    <r>
      <t>Resonance Frequency (F</t>
    </r>
    <r>
      <rPr>
        <b/>
        <vertAlign val="subscript"/>
        <sz val="11"/>
        <color theme="1"/>
        <rFont val="Calibri"/>
        <family val="2"/>
        <scheme val="minor"/>
      </rPr>
      <t>RS</t>
    </r>
    <r>
      <rPr>
        <b/>
        <sz val="11"/>
        <color theme="1"/>
        <rFont val="Calibri"/>
        <family val="2"/>
        <scheme val="minor"/>
      </rPr>
      <t>)</t>
    </r>
  </si>
  <si>
    <t>KhZ</t>
  </si>
  <si>
    <r>
      <t>Input Capacitor Value (C</t>
    </r>
    <r>
      <rPr>
        <b/>
        <vertAlign val="subscript"/>
        <sz val="11"/>
        <color theme="1"/>
        <rFont val="Calibri"/>
        <family val="2"/>
        <scheme val="minor"/>
      </rPr>
      <t>IN</t>
    </r>
    <r>
      <rPr>
        <b/>
        <sz val="11"/>
        <color theme="1"/>
        <rFont val="Calibri"/>
        <family val="2"/>
        <scheme val="minor"/>
      </rPr>
      <t>)</t>
    </r>
  </si>
  <si>
    <t>Input Capacitor ESR</t>
  </si>
  <si>
    <t>Input Capacitor ESL</t>
  </si>
  <si>
    <r>
      <t>Total Input Capacitance (C</t>
    </r>
    <r>
      <rPr>
        <b/>
        <vertAlign val="subscript"/>
        <sz val="11"/>
        <color theme="1"/>
        <rFont val="Calibri"/>
        <family val="2"/>
        <scheme val="minor"/>
      </rPr>
      <t>IN(BULK, TOTAL)</t>
    </r>
    <r>
      <rPr>
        <b/>
        <sz val="11"/>
        <color theme="1"/>
        <rFont val="Calibri"/>
        <family val="2"/>
        <scheme val="minor"/>
      </rPr>
      <t>)</t>
    </r>
  </si>
  <si>
    <r>
      <t>Total Input Ripple RMS Voltage (</t>
    </r>
    <r>
      <rPr>
        <b/>
        <sz val="11"/>
        <color theme="1"/>
        <rFont val="Calibri"/>
        <family val="2"/>
      </rPr>
      <t>ΔV</t>
    </r>
    <r>
      <rPr>
        <b/>
        <vertAlign val="subscript"/>
        <sz val="11"/>
        <color theme="1"/>
        <rFont val="Calibri"/>
        <family val="2"/>
      </rPr>
      <t>IN</t>
    </r>
    <r>
      <rPr>
        <b/>
        <vertAlign val="subscript"/>
        <sz val="11"/>
        <color theme="1"/>
        <rFont val="Calibri"/>
        <family val="2"/>
        <scheme val="minor"/>
      </rPr>
      <t>(RIPPLE)</t>
    </r>
    <r>
      <rPr>
        <b/>
        <sz val="11"/>
        <color theme="1"/>
        <rFont val="Calibri"/>
        <family val="2"/>
        <scheme val="minor"/>
      </rPr>
      <t>)</t>
    </r>
  </si>
  <si>
    <t>Minimum Total Input Capacitance for Load Step ()</t>
  </si>
  <si>
    <r>
      <t>Capacitor 2 Resonance Frequency (F</t>
    </r>
    <r>
      <rPr>
        <b/>
        <vertAlign val="subscript"/>
        <sz val="11"/>
        <color theme="1"/>
        <rFont val="Calibri"/>
        <family val="2"/>
        <scheme val="minor"/>
      </rPr>
      <t>RS</t>
    </r>
    <r>
      <rPr>
        <b/>
        <sz val="11"/>
        <color theme="1"/>
        <rFont val="Calibri"/>
        <family val="2"/>
        <scheme val="minor"/>
      </rPr>
      <t>)</t>
    </r>
  </si>
  <si>
    <t>Total Input Capacitance 2 ESL</t>
  </si>
  <si>
    <t>Total Input Capacitance 2 ESR</t>
  </si>
  <si>
    <r>
      <t>Total Input Capacitance 2 Value (C</t>
    </r>
    <r>
      <rPr>
        <b/>
        <vertAlign val="subscript"/>
        <sz val="11"/>
        <color theme="1"/>
        <rFont val="Calibri"/>
        <family val="2"/>
        <scheme val="minor"/>
      </rPr>
      <t>IN(CER, TOTAL)</t>
    </r>
    <r>
      <rPr>
        <b/>
        <sz val="11"/>
        <color theme="1"/>
        <rFont val="Calibri"/>
        <family val="2"/>
        <scheme val="minor"/>
      </rPr>
      <t>)</t>
    </r>
  </si>
  <si>
    <t>Input Capacitor 2 ESL</t>
  </si>
  <si>
    <t>Input Capacitor 2 ESR</t>
  </si>
  <si>
    <r>
      <t>Input Capacitor 2 Value (C</t>
    </r>
    <r>
      <rPr>
        <b/>
        <vertAlign val="subscript"/>
        <sz val="11"/>
        <color theme="1"/>
        <rFont val="Calibri"/>
        <family val="2"/>
        <scheme val="minor"/>
      </rPr>
      <t>IN(CER)</t>
    </r>
    <r>
      <rPr>
        <b/>
        <sz val="11"/>
        <color theme="1"/>
        <rFont val="Calibri"/>
        <family val="2"/>
        <scheme val="minor"/>
      </rPr>
      <t>)</t>
    </r>
  </si>
  <si>
    <t xml:space="preserve">Add second CIN? </t>
  </si>
  <si>
    <t xml:space="preserve">Add third CIN? </t>
  </si>
  <si>
    <r>
      <t>Input Capacitor 3 Value (C</t>
    </r>
    <r>
      <rPr>
        <b/>
        <vertAlign val="subscript"/>
        <sz val="11"/>
        <color theme="1"/>
        <rFont val="Calibri"/>
        <family val="2"/>
        <scheme val="minor"/>
      </rPr>
      <t>IN(CER)</t>
    </r>
    <r>
      <rPr>
        <b/>
        <sz val="11"/>
        <color theme="1"/>
        <rFont val="Calibri"/>
        <family val="2"/>
        <scheme val="minor"/>
      </rPr>
      <t>)</t>
    </r>
  </si>
  <si>
    <t>Input Capacitor 3 ESR</t>
  </si>
  <si>
    <t>Input Capacitor 3 ESL</t>
  </si>
  <si>
    <r>
      <t>Total Input Capacitance 3 Value (C</t>
    </r>
    <r>
      <rPr>
        <b/>
        <vertAlign val="subscript"/>
        <sz val="11"/>
        <color theme="1"/>
        <rFont val="Calibri"/>
        <family val="2"/>
        <scheme val="minor"/>
      </rPr>
      <t>IN(CER, TOTAL)</t>
    </r>
    <r>
      <rPr>
        <b/>
        <sz val="11"/>
        <color theme="1"/>
        <rFont val="Calibri"/>
        <family val="2"/>
        <scheme val="minor"/>
      </rPr>
      <t>)</t>
    </r>
  </si>
  <si>
    <t>Total Input Capacitance 3 ESR</t>
  </si>
  <si>
    <t>Total Input Capacitance 3 ESL</t>
  </si>
  <si>
    <r>
      <t>Capacitor 3 Resonance Frequency (F</t>
    </r>
    <r>
      <rPr>
        <b/>
        <vertAlign val="subscript"/>
        <sz val="11"/>
        <color theme="1"/>
        <rFont val="Calibri"/>
        <family val="2"/>
        <scheme val="minor"/>
      </rPr>
      <t>RS</t>
    </r>
    <r>
      <rPr>
        <b/>
        <sz val="11"/>
        <color theme="1"/>
        <rFont val="Calibri"/>
        <family val="2"/>
        <scheme val="minor"/>
      </rPr>
      <t>)</t>
    </r>
  </si>
  <si>
    <t>FREQ (Hz)</t>
  </si>
  <si>
    <r>
      <t>XC(BULK) (</t>
    </r>
    <r>
      <rPr>
        <b/>
        <sz val="11"/>
        <color theme="1"/>
        <rFont val="Calibri"/>
        <family val="2"/>
      </rPr>
      <t>Ω)</t>
    </r>
  </si>
  <si>
    <r>
      <t>XL(BULK) (</t>
    </r>
    <r>
      <rPr>
        <b/>
        <sz val="11"/>
        <color theme="1"/>
        <rFont val="Calibri"/>
        <family val="2"/>
      </rPr>
      <t>Ω)</t>
    </r>
  </si>
  <si>
    <r>
      <t>R(BULK) (</t>
    </r>
    <r>
      <rPr>
        <b/>
        <sz val="11"/>
        <color theme="1"/>
        <rFont val="Calibri"/>
        <family val="2"/>
      </rPr>
      <t>Ω)</t>
    </r>
  </si>
  <si>
    <r>
      <t>Z(BULK) (</t>
    </r>
    <r>
      <rPr>
        <b/>
        <sz val="11"/>
        <color theme="1"/>
        <rFont val="Calibri"/>
        <family val="2"/>
      </rPr>
      <t>Ω)</t>
    </r>
  </si>
  <si>
    <t>XC1 (Ω)</t>
  </si>
  <si>
    <t>Z1 (Ω)</t>
  </si>
  <si>
    <t>XC2 (Ω)</t>
  </si>
  <si>
    <t>ESR2 (Ω)</t>
  </si>
  <si>
    <t>XESL2 (Ω)</t>
  </si>
  <si>
    <t>ESR1 (Ω)</t>
  </si>
  <si>
    <t>XESL1 (Ω)</t>
  </si>
  <si>
    <t>Z2 (Ω)</t>
  </si>
  <si>
    <t>fSW</t>
  </si>
  <si>
    <t>XC(MF1) (Ω)</t>
  </si>
  <si>
    <t>XL(MF1) (Ω)</t>
  </si>
  <si>
    <t>R(MF1) (Ω)</t>
  </si>
  <si>
    <t>XC(HF) (Ω)</t>
  </si>
  <si>
    <t>XL(HF) (mΩ)</t>
  </si>
  <si>
    <t>R(HF) (Ω)</t>
  </si>
  <si>
    <t>fC</t>
  </si>
  <si>
    <t>Z(BULK)</t>
  </si>
  <si>
    <t>Z(MF1)</t>
  </si>
  <si>
    <t>Z(HF)</t>
  </si>
  <si>
    <t>Z(TARGET)</t>
  </si>
  <si>
    <t>Z(TOTAL)</t>
  </si>
  <si>
    <t>CIN1</t>
  </si>
  <si>
    <t>CIN2</t>
  </si>
  <si>
    <t>CIN3</t>
  </si>
  <si>
    <t>fSTEP</t>
  </si>
  <si>
    <t>Calculated Output Voltage (VOUT)</t>
  </si>
  <si>
    <t>Input Ripple RMS Current per capacitor</t>
  </si>
  <si>
    <t>Input Transient Deviation</t>
  </si>
  <si>
    <t>Target Duty Cycle (d)</t>
  </si>
  <si>
    <r>
      <t>External Error Amplifier Transconductance (g</t>
    </r>
    <r>
      <rPr>
        <b/>
        <vertAlign val="subscript"/>
        <sz val="11"/>
        <color theme="1"/>
        <rFont val="Calibri"/>
        <family val="2"/>
        <scheme val="minor"/>
      </rPr>
      <t>m(EA)ext</t>
    </r>
    <r>
      <rPr>
        <b/>
        <sz val="11"/>
        <color theme="1"/>
        <rFont val="Calibri"/>
        <family val="2"/>
        <scheme val="minor"/>
      </rPr>
      <t>)</t>
    </r>
  </si>
  <si>
    <r>
      <t>Switching Frequency (f</t>
    </r>
    <r>
      <rPr>
        <b/>
        <vertAlign val="subscript"/>
        <sz val="11"/>
        <color theme="1"/>
        <rFont val="Calibri"/>
        <family val="2"/>
        <scheme val="minor"/>
      </rPr>
      <t>SW</t>
    </r>
    <r>
      <rPr>
        <b/>
        <sz val="11"/>
        <color theme="1"/>
        <rFont val="Calibri"/>
        <family val="2"/>
        <scheme val="minor"/>
      </rPr>
      <t>) (300kHz to 1MHz, 500kHz default)</t>
    </r>
  </si>
  <si>
    <r>
      <t>Actual Bottom Feedback Resistor (R</t>
    </r>
    <r>
      <rPr>
        <b/>
        <vertAlign val="subscript"/>
        <sz val="11"/>
        <color theme="1"/>
        <rFont val="Calibri"/>
        <family val="2"/>
        <scheme val="minor"/>
      </rPr>
      <t>2</t>
    </r>
    <r>
      <rPr>
        <b/>
        <sz val="11"/>
        <color theme="1"/>
        <rFont val="Calibri"/>
        <family val="2"/>
        <scheme val="minor"/>
      </rPr>
      <t>) (recommend 0.1%)</t>
    </r>
  </si>
  <si>
    <r>
      <t>Top Feedback Resistor (R</t>
    </r>
    <r>
      <rPr>
        <b/>
        <vertAlign val="subscript"/>
        <sz val="11"/>
        <color theme="1"/>
        <rFont val="Calibri"/>
        <family val="2"/>
        <scheme val="minor"/>
      </rPr>
      <t>1</t>
    </r>
    <r>
      <rPr>
        <b/>
        <sz val="11"/>
        <color theme="1"/>
        <rFont val="Calibri"/>
        <family val="2"/>
        <scheme val="minor"/>
      </rPr>
      <t>) (recommend 0.1%)</t>
    </r>
  </si>
  <si>
    <r>
      <t>Maximum Inductor (L</t>
    </r>
    <r>
      <rPr>
        <b/>
        <vertAlign val="subscript"/>
        <sz val="11"/>
        <color theme="1"/>
        <rFont val="Calibri"/>
        <family val="2"/>
        <scheme val="minor"/>
      </rPr>
      <t>MAX</t>
    </r>
    <r>
      <rPr>
        <b/>
        <sz val="11"/>
        <color theme="1"/>
        <rFont val="Calibri"/>
        <family val="2"/>
        <scheme val="minor"/>
      </rPr>
      <t>)</t>
    </r>
  </si>
  <si>
    <r>
      <t>Inductor Value based on ripple (L</t>
    </r>
    <r>
      <rPr>
        <b/>
        <vertAlign val="subscript"/>
        <sz val="11"/>
        <color theme="1"/>
        <rFont val="Calibri"/>
        <family val="2"/>
        <scheme val="minor"/>
      </rPr>
      <t>REC</t>
    </r>
    <r>
      <rPr>
        <b/>
        <sz val="11"/>
        <color theme="1"/>
        <rFont val="Calibri"/>
        <family val="2"/>
        <scheme val="minor"/>
      </rPr>
      <t>)</t>
    </r>
  </si>
  <si>
    <t>uH</t>
  </si>
  <si>
    <r>
      <t>Estimated Inductor Ripple current (I</t>
    </r>
    <r>
      <rPr>
        <b/>
        <vertAlign val="subscript"/>
        <sz val="11"/>
        <color theme="1"/>
        <rFont val="Calibri"/>
        <family val="2"/>
        <scheme val="minor"/>
      </rPr>
      <t>RIPPLE</t>
    </r>
    <r>
      <rPr>
        <b/>
        <sz val="11"/>
        <color theme="1"/>
        <rFont val="Calibri"/>
        <family val="2"/>
        <scheme val="minor"/>
      </rPr>
      <t>)</t>
    </r>
  </si>
  <si>
    <r>
      <t>Estimated Inductor Ripple ratio (I</t>
    </r>
    <r>
      <rPr>
        <b/>
        <vertAlign val="subscript"/>
        <sz val="11"/>
        <color theme="1"/>
        <rFont val="Calibri"/>
        <family val="2"/>
        <scheme val="minor"/>
      </rPr>
      <t>RIPPLE</t>
    </r>
    <r>
      <rPr>
        <b/>
        <sz val="11"/>
        <color theme="1"/>
        <rFont val="Calibri"/>
        <family val="2"/>
        <scheme val="minor"/>
      </rPr>
      <t>/I</t>
    </r>
    <r>
      <rPr>
        <b/>
        <vertAlign val="subscript"/>
        <sz val="11"/>
        <color theme="1"/>
        <rFont val="Calibri"/>
        <family val="2"/>
        <scheme val="minor"/>
      </rPr>
      <t>OUT(MAX)</t>
    </r>
    <r>
      <rPr>
        <b/>
        <sz val="11"/>
        <color theme="1"/>
        <rFont val="Calibri"/>
        <family val="2"/>
        <scheme val="minor"/>
      </rPr>
      <t>)</t>
    </r>
  </si>
  <si>
    <r>
      <t>Recommended Slope Resistor (R</t>
    </r>
    <r>
      <rPr>
        <b/>
        <vertAlign val="subscript"/>
        <sz val="11"/>
        <color theme="1"/>
        <rFont val="Calibri"/>
        <family val="2"/>
        <scheme val="minor"/>
      </rPr>
      <t>SLOPE</t>
    </r>
    <r>
      <rPr>
        <b/>
        <sz val="11"/>
        <color theme="1"/>
        <rFont val="Calibri"/>
        <family val="2"/>
        <scheme val="minor"/>
      </rPr>
      <t>)</t>
    </r>
  </si>
  <si>
    <r>
      <t>Allowed ΔVOUT During Load Transient (tran</t>
    </r>
    <r>
      <rPr>
        <b/>
        <vertAlign val="subscript"/>
        <sz val="11"/>
        <color theme="1"/>
        <rFont val="Calibri"/>
        <family val="2"/>
        <scheme val="minor"/>
      </rPr>
      <t>percent</t>
    </r>
    <r>
      <rPr>
        <b/>
        <sz val="11"/>
        <color theme="1"/>
        <rFont val="Calibri"/>
        <family val="2"/>
        <scheme val="minor"/>
      </rPr>
      <t>)</t>
    </r>
  </si>
  <si>
    <r>
      <t>Allowed ΔVOUT During Load Transient (</t>
    </r>
    <r>
      <rPr>
        <b/>
        <sz val="11"/>
        <color theme="1"/>
        <rFont val="Calibri"/>
        <family val="2"/>
      </rPr>
      <t>∆</t>
    </r>
    <r>
      <rPr>
        <b/>
        <sz val="9.35"/>
        <color theme="1"/>
        <rFont val="Calibri"/>
        <family val="2"/>
      </rPr>
      <t>VOUT</t>
    </r>
    <r>
      <rPr>
        <b/>
        <sz val="11"/>
        <color theme="1"/>
        <rFont val="Calibri"/>
        <family val="2"/>
        <scheme val="minor"/>
      </rPr>
      <t>)</t>
    </r>
  </si>
  <si>
    <t>PWM modulator transconductance</t>
  </si>
  <si>
    <r>
      <t>Target Unity Gain Frequency (f</t>
    </r>
    <r>
      <rPr>
        <b/>
        <vertAlign val="subscript"/>
        <sz val="11"/>
        <color theme="1"/>
        <rFont val="Calibri"/>
        <family val="2"/>
        <scheme val="minor"/>
      </rPr>
      <t>T</t>
    </r>
    <r>
      <rPr>
        <b/>
        <sz val="11"/>
        <color theme="1"/>
        <rFont val="Calibri"/>
        <family val="2"/>
        <scheme val="minor"/>
      </rPr>
      <t xml:space="preserve"> = f</t>
    </r>
    <r>
      <rPr>
        <b/>
        <vertAlign val="subscript"/>
        <sz val="11"/>
        <color theme="1"/>
        <rFont val="Calibri"/>
        <family val="2"/>
        <scheme val="minor"/>
      </rPr>
      <t>sw</t>
    </r>
    <r>
      <rPr>
        <b/>
        <sz val="11"/>
        <color theme="1"/>
        <rFont val="Calibri"/>
        <family val="2"/>
        <scheme val="minor"/>
      </rPr>
      <t>/10)</t>
    </r>
  </si>
  <si>
    <r>
      <t>Load Step Rise/Fall Time (t</t>
    </r>
    <r>
      <rPr>
        <b/>
        <vertAlign val="subscript"/>
        <sz val="11"/>
        <color theme="1"/>
        <rFont val="Calibri"/>
        <family val="2"/>
        <scheme val="minor"/>
      </rPr>
      <t>STEP</t>
    </r>
    <r>
      <rPr>
        <b/>
        <sz val="11"/>
        <color theme="1"/>
        <rFont val="Calibri"/>
        <family val="2"/>
        <scheme val="minor"/>
      </rPr>
      <t>)</t>
    </r>
  </si>
  <si>
    <r>
      <t>Target C</t>
    </r>
    <r>
      <rPr>
        <b/>
        <vertAlign val="subscript"/>
        <sz val="11"/>
        <color theme="1"/>
        <rFont val="Calibri"/>
        <family val="2"/>
        <scheme val="minor"/>
      </rPr>
      <t>OUT</t>
    </r>
    <r>
      <rPr>
        <b/>
        <sz val="11"/>
        <color theme="1"/>
        <rFont val="Calibri"/>
        <family val="2"/>
        <scheme val="minor"/>
      </rPr>
      <t xml:space="preserve"> Impedance (Z</t>
    </r>
    <r>
      <rPr>
        <b/>
        <vertAlign val="subscript"/>
        <sz val="11"/>
        <color theme="1"/>
        <rFont val="Calibri"/>
        <family val="2"/>
        <scheme val="minor"/>
      </rPr>
      <t>TARGET</t>
    </r>
    <r>
      <rPr>
        <b/>
        <sz val="11"/>
        <color theme="1"/>
        <rFont val="Calibri"/>
        <family val="2"/>
        <scheme val="minor"/>
      </rPr>
      <t>)</t>
    </r>
  </si>
  <si>
    <t>Quantity</t>
  </si>
  <si>
    <t>Bulk Capacitor Resonance</t>
  </si>
  <si>
    <t>Example Bulk Capacitors</t>
  </si>
  <si>
    <t>T540D476M016AH(1)20</t>
  </si>
  <si>
    <t>04051-033(2)</t>
  </si>
  <si>
    <r>
      <t>Output Capacitance (C</t>
    </r>
    <r>
      <rPr>
        <b/>
        <vertAlign val="subscript"/>
        <sz val="11"/>
        <color theme="1"/>
        <rFont val="Calibri"/>
        <family val="2"/>
        <scheme val="minor"/>
      </rPr>
      <t>OUT</t>
    </r>
    <r>
      <rPr>
        <b/>
        <sz val="11"/>
        <color theme="1"/>
        <rFont val="Calibri"/>
        <family val="2"/>
        <scheme val="minor"/>
      </rPr>
      <t>) - USE COUT DESIGN TAB</t>
    </r>
  </si>
  <si>
    <r>
      <t>Total Bulk C</t>
    </r>
    <r>
      <rPr>
        <b/>
        <vertAlign val="subscript"/>
        <sz val="11"/>
        <color theme="1"/>
        <rFont val="Calibri"/>
        <family val="2"/>
        <scheme val="minor"/>
      </rPr>
      <t>OUT</t>
    </r>
    <r>
      <rPr>
        <b/>
        <sz val="11"/>
        <color theme="1"/>
        <rFont val="Calibri"/>
        <family val="2"/>
        <scheme val="minor"/>
      </rPr>
      <t xml:space="preserve"> (C</t>
    </r>
    <r>
      <rPr>
        <b/>
        <vertAlign val="subscript"/>
        <sz val="11"/>
        <color theme="1"/>
        <rFont val="Calibri"/>
        <family val="2"/>
        <scheme val="minor"/>
      </rPr>
      <t>OUT(TOTAL-BULK)</t>
    </r>
    <r>
      <rPr>
        <b/>
        <sz val="11"/>
        <color theme="1"/>
        <rFont val="Calibri"/>
        <family val="2"/>
        <scheme val="minor"/>
      </rPr>
      <t>)</t>
    </r>
  </si>
  <si>
    <r>
      <t>Total Bulk C</t>
    </r>
    <r>
      <rPr>
        <b/>
        <vertAlign val="subscript"/>
        <sz val="11"/>
        <color theme="1"/>
        <rFont val="Calibri"/>
        <family val="2"/>
        <scheme val="minor"/>
      </rPr>
      <t>OUT</t>
    </r>
    <r>
      <rPr>
        <b/>
        <sz val="11"/>
        <color theme="1"/>
        <rFont val="Calibri"/>
        <family val="2"/>
        <scheme val="minor"/>
      </rPr>
      <t xml:space="preserve">  ESR</t>
    </r>
  </si>
  <si>
    <r>
      <t>Use High Frequency C</t>
    </r>
    <r>
      <rPr>
        <b/>
        <vertAlign val="subscript"/>
        <sz val="11"/>
        <color theme="1"/>
        <rFont val="Calibri"/>
        <family val="2"/>
        <scheme val="minor"/>
      </rPr>
      <t>OUT(HF)</t>
    </r>
    <r>
      <rPr>
        <b/>
        <sz val="11"/>
        <color theme="1"/>
        <rFont val="Calibri"/>
        <family val="2"/>
        <scheme val="minor"/>
      </rPr>
      <t xml:space="preserve">? </t>
    </r>
  </si>
  <si>
    <r>
      <t>HF Capacitor Value (C</t>
    </r>
    <r>
      <rPr>
        <b/>
        <vertAlign val="subscript"/>
        <sz val="11"/>
        <color theme="1"/>
        <rFont val="Calibri"/>
        <family val="2"/>
        <scheme val="minor"/>
      </rPr>
      <t>OUT(HF)</t>
    </r>
    <r>
      <rPr>
        <b/>
        <sz val="11"/>
        <color theme="1"/>
        <rFont val="Calibri"/>
        <family val="2"/>
        <scheme val="minor"/>
      </rPr>
      <t>)</t>
    </r>
  </si>
  <si>
    <t>HF Capacitor ESR</t>
  </si>
  <si>
    <t>HF Capacitor ESL</t>
  </si>
  <si>
    <t>HF Capacitor Quantity</t>
  </si>
  <si>
    <t xml:space="preserve">Total HF Capacitance </t>
  </si>
  <si>
    <t>Total HF Capacitance ESR</t>
  </si>
  <si>
    <t>HF Capacitor Resonance</t>
  </si>
  <si>
    <r>
      <t>Use Mid Frequency C</t>
    </r>
    <r>
      <rPr>
        <b/>
        <vertAlign val="subscript"/>
        <sz val="11"/>
        <color theme="1"/>
        <rFont val="Calibri"/>
        <family val="2"/>
        <scheme val="minor"/>
      </rPr>
      <t>OUT(MF1)</t>
    </r>
    <r>
      <rPr>
        <b/>
        <sz val="11"/>
        <color theme="1"/>
        <rFont val="Calibri"/>
        <family val="2"/>
        <scheme val="minor"/>
      </rPr>
      <t xml:space="preserve">? </t>
    </r>
  </si>
  <si>
    <t>MF 1 Capacitor ESR</t>
  </si>
  <si>
    <t>MF 1 Capacitor ESL</t>
  </si>
  <si>
    <t>Total MF 1 Capacitance</t>
  </si>
  <si>
    <t>Total MF 1 Capacitance ESR</t>
  </si>
  <si>
    <t>Total MF 1 Capacitance ESL</t>
  </si>
  <si>
    <t>MF 1 Capacitor Resonance</t>
  </si>
  <si>
    <t>MF 1 Capacitor Value (COUT(MF1))</t>
  </si>
  <si>
    <t>Total HF Capacitance ESL</t>
  </si>
  <si>
    <r>
      <t>Minimum C</t>
    </r>
    <r>
      <rPr>
        <b/>
        <vertAlign val="subscript"/>
        <sz val="11"/>
        <color theme="1"/>
        <rFont val="Calibri"/>
        <family val="2"/>
        <scheme val="minor"/>
      </rPr>
      <t>OUT</t>
    </r>
    <r>
      <rPr>
        <b/>
        <sz val="11"/>
        <color theme="1"/>
        <rFont val="Calibri"/>
        <family val="2"/>
        <scheme val="minor"/>
      </rPr>
      <t xml:space="preserve"> EXT COMP (C</t>
    </r>
    <r>
      <rPr>
        <b/>
        <vertAlign val="subscript"/>
        <sz val="11"/>
        <color theme="1"/>
        <rFont val="Calibri"/>
        <family val="2"/>
        <scheme val="minor"/>
      </rPr>
      <t>OUT(MIN)</t>
    </r>
    <r>
      <rPr>
        <b/>
        <sz val="11"/>
        <color theme="1"/>
        <rFont val="Calibri"/>
        <family val="2"/>
        <scheme val="minor"/>
      </rPr>
      <t>)</t>
    </r>
  </si>
  <si>
    <r>
      <t>Minimum C</t>
    </r>
    <r>
      <rPr>
        <b/>
        <vertAlign val="subscript"/>
        <sz val="11"/>
        <color theme="1"/>
        <rFont val="Calibri"/>
        <family val="2"/>
        <scheme val="minor"/>
      </rPr>
      <t>OUT</t>
    </r>
    <r>
      <rPr>
        <b/>
        <sz val="11"/>
        <color theme="1"/>
        <rFont val="Calibri"/>
        <family val="2"/>
        <scheme val="minor"/>
      </rPr>
      <t xml:space="preserve"> INT COMP (C</t>
    </r>
    <r>
      <rPr>
        <b/>
        <vertAlign val="subscript"/>
        <sz val="11"/>
        <color theme="1"/>
        <rFont val="Calibri"/>
        <family val="2"/>
        <scheme val="minor"/>
      </rPr>
      <t>OUT(MIN)</t>
    </r>
    <r>
      <rPr>
        <b/>
        <sz val="11"/>
        <color theme="1"/>
        <rFont val="Calibri"/>
        <family val="2"/>
        <scheme val="minor"/>
      </rPr>
      <t>)</t>
    </r>
  </si>
  <si>
    <r>
      <t>Calculated Unity Gain Frequency (f</t>
    </r>
    <r>
      <rPr>
        <b/>
        <vertAlign val="subscript"/>
        <sz val="11"/>
        <color theme="1"/>
        <rFont val="Calibri"/>
        <family val="2"/>
        <scheme val="minor"/>
      </rPr>
      <t>T</t>
    </r>
    <r>
      <rPr>
        <b/>
        <sz val="11"/>
        <color theme="1"/>
        <rFont val="Calibri"/>
        <family val="2"/>
        <scheme val="minor"/>
      </rPr>
      <t xml:space="preserve"> = f</t>
    </r>
    <r>
      <rPr>
        <b/>
        <vertAlign val="subscript"/>
        <sz val="11"/>
        <color theme="1"/>
        <rFont val="Calibri"/>
        <family val="2"/>
        <scheme val="minor"/>
      </rPr>
      <t>sw</t>
    </r>
    <r>
      <rPr>
        <b/>
        <sz val="11"/>
        <color theme="1"/>
        <rFont val="Calibri"/>
        <family val="2"/>
        <scheme val="minor"/>
      </rPr>
      <t>/10)</t>
    </r>
  </si>
  <si>
    <r>
      <t>Actual R</t>
    </r>
    <r>
      <rPr>
        <b/>
        <vertAlign val="subscript"/>
        <sz val="11"/>
        <color theme="1"/>
        <rFont val="Calibri"/>
        <family val="2"/>
        <scheme val="minor"/>
      </rPr>
      <t>SLOPE</t>
    </r>
    <r>
      <rPr>
        <b/>
        <sz val="11"/>
        <color theme="1"/>
        <rFont val="Calibri"/>
        <family val="2"/>
        <scheme val="minor"/>
      </rPr>
      <t xml:space="preserve"> must be between 25k</t>
    </r>
    <r>
      <rPr>
        <b/>
        <sz val="11"/>
        <color theme="1"/>
        <rFont val="Calibri"/>
        <family val="2"/>
      </rPr>
      <t>Ω</t>
    </r>
    <r>
      <rPr>
        <b/>
        <sz val="11"/>
        <color theme="1"/>
        <rFont val="Calibri"/>
        <family val="2"/>
        <scheme val="minor"/>
      </rPr>
      <t xml:space="preserve"> and 100kΩ. </t>
    </r>
  </si>
  <si>
    <r>
      <t>Target Compensation Zero Frequency (f</t>
    </r>
    <r>
      <rPr>
        <b/>
        <vertAlign val="subscript"/>
        <sz val="11"/>
        <color theme="1"/>
        <rFont val="Calibri"/>
        <family val="2"/>
        <scheme val="minor"/>
      </rPr>
      <t>Z</t>
    </r>
    <r>
      <rPr>
        <b/>
        <sz val="11"/>
        <color theme="1"/>
        <rFont val="Calibri"/>
        <family val="2"/>
        <scheme val="minor"/>
      </rPr>
      <t xml:space="preserve"> = f</t>
    </r>
    <r>
      <rPr>
        <b/>
        <vertAlign val="subscript"/>
        <sz val="11"/>
        <color theme="1"/>
        <rFont val="Calibri"/>
        <family val="2"/>
        <scheme val="minor"/>
      </rPr>
      <t>T</t>
    </r>
    <r>
      <rPr>
        <b/>
        <sz val="11"/>
        <color theme="1"/>
        <rFont val="Calibri"/>
        <family val="2"/>
        <scheme val="minor"/>
      </rPr>
      <t>/10)</t>
    </r>
  </si>
  <si>
    <r>
      <t>Recommended Compensation Capacitor (C</t>
    </r>
    <r>
      <rPr>
        <b/>
        <vertAlign val="subscript"/>
        <sz val="11"/>
        <color theme="1"/>
        <rFont val="Calibri"/>
        <family val="2"/>
        <scheme val="minor"/>
      </rPr>
      <t>COMP(MIN)</t>
    </r>
    <r>
      <rPr>
        <b/>
        <sz val="11"/>
        <color theme="1"/>
        <rFont val="Calibri"/>
        <family val="2"/>
        <scheme val="minor"/>
      </rPr>
      <t>)</t>
    </r>
  </si>
  <si>
    <t>ms</t>
  </si>
  <si>
    <t>Total starting time (EN to PGOOD)</t>
  </si>
  <si>
    <r>
      <t xml:space="preserve">VOUT rise time 500kHz </t>
    </r>
    <r>
      <rPr>
        <b/>
        <sz val="9"/>
        <color theme="1"/>
        <rFont val="Calibri"/>
        <family val="2"/>
        <scheme val="minor"/>
      </rPr>
      <t>(from Figure 33. ENABLE to LX and VOUT to PGOOD Turn-On 
500kHz)</t>
    </r>
  </si>
  <si>
    <r>
      <t xml:space="preserve">VOUT rise time 300kHz </t>
    </r>
    <r>
      <rPr>
        <b/>
        <sz val="9"/>
        <color theme="1"/>
        <rFont val="Calibri"/>
        <family val="2"/>
        <scheme val="minor"/>
      </rPr>
      <t>(from Figure 34. ENABLE to LX and VOUT to PGOOD Turn-On 
300kHz)</t>
    </r>
  </si>
  <si>
    <r>
      <t xml:space="preserve">VOUT rise time 1MHz </t>
    </r>
    <r>
      <rPr>
        <b/>
        <sz val="9"/>
        <color theme="1"/>
        <rFont val="Calibri"/>
        <family val="2"/>
        <scheme val="minor"/>
      </rPr>
      <t>(from Figure 35. ENABLE to LX and VOUT to PGOOD Turn-On 
1000kHz)</t>
    </r>
  </si>
  <si>
    <r>
      <t xml:space="preserve">Total startup time (EN to PGOOD) 1MHz </t>
    </r>
    <r>
      <rPr>
        <b/>
        <sz val="9"/>
        <color theme="1"/>
        <rFont val="Calibri"/>
        <family val="2"/>
        <scheme val="minor"/>
      </rPr>
      <t>(from DS Specification Power Good Rising Delay t</t>
    </r>
    <r>
      <rPr>
        <b/>
        <vertAlign val="subscript"/>
        <sz val="9"/>
        <color theme="1"/>
        <rFont val="Calibri"/>
        <family val="2"/>
        <scheme val="minor"/>
      </rPr>
      <t>SSPGdlyr</t>
    </r>
    <r>
      <rPr>
        <b/>
        <sz val="9"/>
        <color theme="1"/>
        <rFont val="Calibri"/>
        <family val="2"/>
        <scheme val="minor"/>
      </rPr>
      <t>)</t>
    </r>
  </si>
  <si>
    <r>
      <t xml:space="preserve">Total startup time (EN to PGOOD) 300kHz </t>
    </r>
    <r>
      <rPr>
        <b/>
        <sz val="9"/>
        <color theme="1"/>
        <rFont val="Calibri"/>
        <family val="2"/>
        <scheme val="minor"/>
      </rPr>
      <t>(from DS Specification Power Good Rising Delay t</t>
    </r>
    <r>
      <rPr>
        <b/>
        <vertAlign val="subscript"/>
        <sz val="9"/>
        <color theme="1"/>
        <rFont val="Calibri"/>
        <family val="2"/>
        <scheme val="minor"/>
      </rPr>
      <t>SSPGdlyr</t>
    </r>
    <r>
      <rPr>
        <b/>
        <sz val="9"/>
        <color theme="1"/>
        <rFont val="Calibri"/>
        <family val="2"/>
        <scheme val="minor"/>
      </rPr>
      <t>)</t>
    </r>
  </si>
  <si>
    <r>
      <t xml:space="preserve">Total startup time (EN to PGOOD) 500kHz </t>
    </r>
    <r>
      <rPr>
        <b/>
        <sz val="9"/>
        <color theme="1"/>
        <rFont val="Calibri"/>
        <family val="2"/>
        <scheme val="minor"/>
      </rPr>
      <t>(from DS Specification Power Good Rising Delay t</t>
    </r>
    <r>
      <rPr>
        <b/>
        <vertAlign val="subscript"/>
        <sz val="9"/>
        <color theme="1"/>
        <rFont val="Calibri"/>
        <family val="2"/>
        <scheme val="minor"/>
      </rPr>
      <t>SSPGdlyr</t>
    </r>
    <r>
      <rPr>
        <b/>
        <sz val="9"/>
        <color theme="1"/>
        <rFont val="Calibri"/>
        <family val="2"/>
        <scheme val="minor"/>
      </rPr>
      <t>)</t>
    </r>
  </si>
  <si>
    <t>300kHz</t>
  </si>
  <si>
    <t>500kHz</t>
  </si>
  <si>
    <t>1MHz</t>
  </si>
  <si>
    <t>SS extrapolation: VOUT rise time (for inrush calculation)</t>
  </si>
  <si>
    <t>SS interpolation: Extra EN to PGOOD time (for PGOOD delay)</t>
  </si>
  <si>
    <t>cycles</t>
  </si>
  <si>
    <r>
      <t>VOUT Soft-Start Time (t</t>
    </r>
    <r>
      <rPr>
        <b/>
        <vertAlign val="subscript"/>
        <sz val="11"/>
        <color theme="1"/>
        <rFont val="Calibri"/>
        <family val="2"/>
        <scheme val="minor"/>
      </rPr>
      <t>SS</t>
    </r>
    <r>
      <rPr>
        <b/>
        <sz val="11"/>
        <color theme="1"/>
        <rFont val="Calibri"/>
        <family val="2"/>
        <scheme val="minor"/>
      </rPr>
      <t>)</t>
    </r>
  </si>
  <si>
    <r>
      <t>Input Capacitor RMS Current (I</t>
    </r>
    <r>
      <rPr>
        <b/>
        <vertAlign val="subscript"/>
        <sz val="11"/>
        <color theme="1"/>
        <rFont val="Calibri"/>
        <family val="2"/>
        <scheme val="minor"/>
      </rPr>
      <t>CINrms</t>
    </r>
    <r>
      <rPr>
        <b/>
        <sz val="11"/>
        <color theme="1"/>
        <rFont val="Calibri"/>
        <family val="2"/>
        <scheme val="minor"/>
      </rPr>
      <t>)</t>
    </r>
  </si>
  <si>
    <t>These cells are automatically copied from the Main tab for convenience</t>
  </si>
  <si>
    <t>Max Slope Comp numerator</t>
  </si>
  <si>
    <t>V/ns</t>
  </si>
  <si>
    <r>
      <t>Minimum Inductor based on maximum slope comp (L</t>
    </r>
    <r>
      <rPr>
        <b/>
        <vertAlign val="subscript"/>
        <sz val="11"/>
        <color theme="1"/>
        <rFont val="Calibri"/>
        <family val="2"/>
        <scheme val="minor"/>
      </rPr>
      <t>MIN</t>
    </r>
    <r>
      <rPr>
        <b/>
        <sz val="11"/>
        <color theme="1"/>
        <rFont val="Calibri"/>
        <family val="2"/>
        <scheme val="minor"/>
      </rPr>
      <t>)</t>
    </r>
  </si>
  <si>
    <t>These cells are the copied from the COUT/CIN Design tabs for convenience</t>
  </si>
  <si>
    <t>M3253505E2Z105KRTB</t>
  </si>
  <si>
    <t>Case Size</t>
  </si>
  <si>
    <t>Tantalum D</t>
  </si>
  <si>
    <t>Tant E</t>
  </si>
  <si>
    <t>M3253505E2Z104KRTB</t>
  </si>
  <si>
    <t>Minimum Total Input Capacitane for Input Ripple assuming ESR = zero</t>
  </si>
  <si>
    <t>C0603K104K3RNG</t>
  </si>
  <si>
    <t>&gt;3A</t>
  </si>
  <si>
    <r>
      <t>Target Input Capacitor Impedance (Z</t>
    </r>
    <r>
      <rPr>
        <b/>
        <vertAlign val="subscript"/>
        <sz val="11"/>
        <color theme="1"/>
        <rFont val="Calibri"/>
        <family val="2"/>
        <scheme val="minor"/>
      </rPr>
      <t>TARGET</t>
    </r>
    <r>
      <rPr>
        <b/>
        <sz val="11"/>
        <color theme="1"/>
        <rFont val="Calibri"/>
        <family val="2"/>
        <scheme val="minor"/>
      </rPr>
      <t>)</t>
    </r>
  </si>
  <si>
    <t>T540D336M025AH(1)10</t>
  </si>
  <si>
    <t>Tantalum D/7343-31</t>
  </si>
  <si>
    <t>04051-043(2)</t>
  </si>
  <si>
    <t>0603</t>
  </si>
  <si>
    <t>1206</t>
  </si>
  <si>
    <t>Total Input Capacitance</t>
  </si>
  <si>
    <r>
      <t>Max Input Capacitor RMS Currente (I</t>
    </r>
    <r>
      <rPr>
        <b/>
        <vertAlign val="subscript"/>
        <sz val="11"/>
        <color theme="1"/>
        <rFont val="Calibri"/>
        <family val="2"/>
        <scheme val="minor"/>
      </rPr>
      <t>IN(RMS, MAX,)</t>
    </r>
    <r>
      <rPr>
        <b/>
        <sz val="11"/>
        <color theme="1"/>
        <rFont val="Calibri"/>
        <family val="2"/>
        <scheme val="minor"/>
      </rPr>
      <t>)</t>
    </r>
  </si>
  <si>
    <t>A/V</t>
  </si>
  <si>
    <t>External COMP</t>
  </si>
  <si>
    <t>Internal COMP</t>
  </si>
  <si>
    <t>fosc if using sync</t>
  </si>
  <si>
    <r>
      <t>Internal Error Amplifier Proportional gain (A</t>
    </r>
    <r>
      <rPr>
        <b/>
        <vertAlign val="subscript"/>
        <sz val="11"/>
        <color theme="1"/>
        <rFont val="Calibri"/>
        <family val="2"/>
        <scheme val="minor"/>
      </rPr>
      <t>EAP</t>
    </r>
    <r>
      <rPr>
        <b/>
        <sz val="11"/>
        <color theme="1"/>
        <rFont val="Calibri"/>
        <family val="2"/>
        <scheme val="minor"/>
      </rPr>
      <t>)</t>
    </r>
  </si>
  <si>
    <t>T521X107M025ATE030</t>
  </si>
  <si>
    <t>Date</t>
  </si>
  <si>
    <t>Revision</t>
  </si>
  <si>
    <t>Change</t>
  </si>
  <si>
    <t>1.0</t>
  </si>
  <si>
    <t>Initial Release</t>
  </si>
  <si>
    <r>
      <t>Use External Clock on SYNC-I (f</t>
    </r>
    <r>
      <rPr>
        <b/>
        <vertAlign val="subscript"/>
        <sz val="11"/>
        <color theme="1"/>
        <rFont val="Calibri"/>
        <family val="2"/>
        <scheme val="minor"/>
      </rPr>
      <t>OSC</t>
    </r>
    <r>
      <rPr>
        <b/>
        <sz val="11"/>
        <color theme="1"/>
        <rFont val="Calibri"/>
        <family val="2"/>
        <scheme val="minor"/>
      </rPr>
      <t>-15%)? (not available in CDFP)</t>
    </r>
  </si>
  <si>
    <r>
      <t>R</t>
    </r>
    <r>
      <rPr>
        <b/>
        <vertAlign val="subscript"/>
        <sz val="11"/>
        <color theme="1"/>
        <rFont val="Calibri"/>
        <family val="2"/>
        <scheme val="minor"/>
      </rPr>
      <t>SLOPE</t>
    </r>
    <r>
      <rPr>
        <b/>
        <sz val="11"/>
        <color theme="1"/>
        <rFont val="Calibri"/>
        <family val="2"/>
        <scheme val="minor"/>
      </rPr>
      <t xml:space="preserve"> constant</t>
    </r>
  </si>
  <si>
    <r>
      <t>Minimum C</t>
    </r>
    <r>
      <rPr>
        <b/>
        <vertAlign val="subscript"/>
        <sz val="11"/>
        <color theme="1"/>
        <rFont val="Calibri"/>
        <family val="2"/>
        <scheme val="minor"/>
      </rPr>
      <t>OUT</t>
    </r>
    <r>
      <rPr>
        <b/>
        <sz val="11"/>
        <color theme="1"/>
        <rFont val="Calibri"/>
        <family val="2"/>
        <scheme val="minor"/>
      </rPr>
      <t xml:space="preserve"> (C</t>
    </r>
    <r>
      <rPr>
        <b/>
        <vertAlign val="subscript"/>
        <sz val="11"/>
        <color theme="1"/>
        <rFont val="Calibri"/>
        <family val="2"/>
        <scheme val="minor"/>
      </rPr>
      <t>OUT(MIN)</t>
    </r>
    <r>
      <rPr>
        <b/>
        <sz val="11"/>
        <color theme="1"/>
        <rFont val="Calibri"/>
        <family val="2"/>
        <scheme val="minor"/>
      </rPr>
      <t>)</t>
    </r>
  </si>
  <si>
    <r>
      <t>Actual (R</t>
    </r>
    <r>
      <rPr>
        <b/>
        <vertAlign val="subscript"/>
        <sz val="11"/>
        <color theme="1"/>
        <rFont val="Calibri"/>
        <family val="2"/>
        <scheme val="minor"/>
      </rPr>
      <t>SLOPE</t>
    </r>
    <r>
      <rPr>
        <b/>
        <sz val="11"/>
        <color theme="1"/>
        <rFont val="Calibri"/>
        <family val="2"/>
        <scheme val="minor"/>
      </rPr>
      <t>) (set to "100" if using SLOPE = VCC)</t>
    </r>
  </si>
  <si>
    <t>Supporting equations</t>
  </si>
  <si>
    <r>
      <t>Switching Frequency (f</t>
    </r>
    <r>
      <rPr>
        <b/>
        <vertAlign val="subscript"/>
        <sz val="11"/>
        <color theme="6" tint="0.59999389629810485"/>
        <rFont val="Calibri"/>
        <family val="2"/>
        <scheme val="minor"/>
      </rPr>
      <t>SW</t>
    </r>
    <r>
      <rPr>
        <b/>
        <sz val="11"/>
        <color theme="6" tint="0.59999389629810485"/>
        <rFont val="Calibri"/>
        <family val="2"/>
        <scheme val="minor"/>
      </rPr>
      <t>) (300kHz to 1MHz, 500kHz default)</t>
    </r>
  </si>
  <si>
    <r>
      <t>Frequency Select Resistor (R</t>
    </r>
    <r>
      <rPr>
        <b/>
        <vertAlign val="subscript"/>
        <sz val="11"/>
        <color theme="6" tint="0.59999389629810485"/>
        <rFont val="Calibri"/>
        <family val="2"/>
        <scheme val="minor"/>
      </rPr>
      <t>FS</t>
    </r>
    <r>
      <rPr>
        <b/>
        <sz val="11"/>
        <color theme="6" tint="0.59999389629810485"/>
        <rFont val="Calibri"/>
        <family val="2"/>
        <scheme val="minor"/>
      </rPr>
      <t>) if not using sync</t>
    </r>
  </si>
  <si>
    <r>
      <t>k</t>
    </r>
    <r>
      <rPr>
        <sz val="11"/>
        <color theme="6" tint="0.59999389629810485"/>
        <rFont val="Calibri"/>
        <family val="2"/>
      </rPr>
      <t>Ω</t>
    </r>
  </si>
  <si>
    <r>
      <t>Frequency Select Resistor (R</t>
    </r>
    <r>
      <rPr>
        <b/>
        <vertAlign val="subscript"/>
        <sz val="11"/>
        <color theme="6" tint="0.59999389629810485"/>
        <rFont val="Calibri"/>
        <family val="2"/>
        <scheme val="minor"/>
      </rPr>
      <t>FS</t>
    </r>
    <r>
      <rPr>
        <b/>
        <sz val="11"/>
        <color theme="6" tint="0.59999389629810485"/>
        <rFont val="Calibri"/>
        <family val="2"/>
        <scheme val="minor"/>
      </rPr>
      <t>) if using sync</t>
    </r>
  </si>
  <si>
    <t>These cells have an error</t>
  </si>
  <si>
    <t>Enforce a particular lower FB resistor when using SYNC</t>
  </si>
  <si>
    <t xml:space="preserve">ISL73007 Design Tool. Revision: </t>
  </si>
  <si>
    <t>Recommended Top Feedback Resistor</t>
  </si>
  <si>
    <t xml:space="preserve">Calculated Output Voltage (VOUT)  </t>
  </si>
  <si>
    <t>Lower FB resistor should be ≤220Ω when using SYNC</t>
  </si>
  <si>
    <t>Recommended Bottom Feedback Resistor (see datasheet for SYNC explanation)</t>
  </si>
  <si>
    <t>Fix the 'load step Rise/Fall' reference</t>
  </si>
  <si>
    <r>
      <t>Maximum load current (I</t>
    </r>
    <r>
      <rPr>
        <b/>
        <vertAlign val="subscript"/>
        <sz val="11"/>
        <color theme="1"/>
        <rFont val="Calibri"/>
        <family val="2"/>
        <scheme val="minor"/>
      </rPr>
      <t>MAX</t>
    </r>
    <r>
      <rPr>
        <b/>
        <sz val="11"/>
        <color theme="1"/>
        <rFont val="Calibri"/>
        <family val="2"/>
        <scheme val="minor"/>
      </rPr>
      <t>)</t>
    </r>
  </si>
  <si>
    <t>5 (fixed)</t>
  </si>
  <si>
    <t>Recommended VCC Capacitor</t>
  </si>
  <si>
    <t>Add fixed internal comp load transient and compensation zero. Add VCC cap recommendation.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</si>
</sst>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
    <numFmt numFmtId="165" formatCode="0.0000"/>
    <numFmt numFmtId="166" formatCode="0.000000"/>
    <numFmt numFmtId="167" formatCode="0.00000"/>
    <numFmt numFmtId="168" formatCode="0.0"/>
    <numFmt numFmtId="169" formatCode="0.0000000000"/>
    <numFmt numFmtId="170" formatCode="0.000000000000"/>
    <numFmt numFmtId="171" formatCode="#,##0.00000000"/>
    <numFmt numFmtId="172" formatCode="#,##0.0"/>
    <numFmt numFmtId="173" formatCode="#,##0.000"/>
  </numFmts>
  <fonts count="19" x14ac:knownFonts="1">
    <font>
      <sz val="11"/>
      <color theme="1"/>
      <name val="Calibri"/>
      <family val="2"/>
      <scheme val="minor"/>
    </font>
    <font>
      <b/>
      <sz val="11"/>
      <color theme="1"/>
      <name val="Calibri"/>
      <family val="2"/>
      <scheme val="minor"/>
    </font>
    <font>
      <b/>
      <vertAlign val="subscript"/>
      <sz val="11"/>
      <color theme="1"/>
      <name val="Calibri"/>
      <family val="2"/>
      <scheme val="minor"/>
    </font>
    <font>
      <b/>
      <sz val="11"/>
      <color theme="1"/>
      <name val="Calibri"/>
      <family val="2"/>
    </font>
    <font>
      <b/>
      <vertAlign val="subscript"/>
      <sz val="11"/>
      <color theme="1"/>
      <name val="Calibri"/>
      <family val="2"/>
    </font>
    <font>
      <sz val="11"/>
      <color theme="1"/>
      <name val="Calibri"/>
      <family val="2"/>
    </font>
    <font>
      <sz val="8"/>
      <color theme="1"/>
      <name val="Calibri"/>
      <family val="2"/>
      <scheme val="minor"/>
    </font>
    <font>
      <b/>
      <sz val="8"/>
      <color theme="1"/>
      <name val="Calibri"/>
      <family val="2"/>
      <scheme val="minor"/>
    </font>
    <font>
      <b/>
      <sz val="7.7"/>
      <color theme="1"/>
      <name val="Calibri"/>
      <family val="2"/>
    </font>
    <font>
      <sz val="11"/>
      <color theme="1"/>
      <name val="Wingdings"/>
      <charset val="2"/>
    </font>
    <font>
      <sz val="11"/>
      <color theme="1"/>
      <name val="Calibri"/>
      <family val="2"/>
      <scheme val="minor"/>
    </font>
    <font>
      <b/>
      <sz val="9.35"/>
      <color theme="1"/>
      <name val="Calibri"/>
      <family val="2"/>
    </font>
    <font>
      <b/>
      <sz val="9"/>
      <color theme="1"/>
      <name val="Calibri"/>
      <family val="2"/>
      <scheme val="minor"/>
    </font>
    <font>
      <b/>
      <vertAlign val="subscript"/>
      <sz val="9"/>
      <color theme="1"/>
      <name val="Calibri"/>
      <family val="2"/>
      <scheme val="minor"/>
    </font>
    <font>
      <sz val="10"/>
      <name val="Arial"/>
      <family val="2"/>
    </font>
    <font>
      <sz val="11"/>
      <color theme="6" tint="0.59999389629810485"/>
      <name val="Calibri"/>
      <family val="2"/>
      <scheme val="minor"/>
    </font>
    <font>
      <b/>
      <sz val="11"/>
      <color theme="6" tint="0.59999389629810485"/>
      <name val="Calibri"/>
      <family val="2"/>
      <scheme val="minor"/>
    </font>
    <font>
      <b/>
      <vertAlign val="subscript"/>
      <sz val="11"/>
      <color theme="6" tint="0.59999389629810485"/>
      <name val="Calibri"/>
      <family val="2"/>
      <scheme val="minor"/>
    </font>
    <font>
      <sz val="11"/>
      <color theme="6" tint="0.59999389629810485"/>
      <name val="Calibri"/>
      <family val="2"/>
    </font>
  </fonts>
  <fills count="11">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rgb="FFFFC0C0"/>
        <bgColor indexed="64"/>
      </patternFill>
    </fill>
    <fill>
      <patternFill patternType="solid">
        <fgColor rgb="FFFFFFC0"/>
        <bgColor indexed="64"/>
      </patternFill>
    </fill>
    <fill>
      <patternFill patternType="solid">
        <fgColor rgb="FFC0FFC0"/>
        <bgColor indexed="64"/>
      </patternFill>
    </fill>
    <fill>
      <patternFill patternType="solid">
        <fgColor rgb="FFC0FFFF"/>
        <bgColor indexed="64"/>
      </patternFill>
    </fill>
    <fill>
      <patternFill patternType="solid">
        <fgColor rgb="FFC0C0FF"/>
        <bgColor indexed="64"/>
      </patternFill>
    </fill>
    <fill>
      <patternFill patternType="solid">
        <fgColor rgb="FFFFC0FF"/>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0" fillId="0" borderId="0" applyFont="0" applyFill="0" applyBorder="0" applyAlignment="0" applyProtection="0"/>
    <xf numFmtId="0" fontId="14" fillId="0" borderId="0"/>
  </cellStyleXfs>
  <cellXfs count="121">
    <xf numFmtId="0" fontId="0" fillId="0" borderId="0" xfId="0"/>
    <xf numFmtId="0" fontId="1" fillId="0" borderId="0" xfId="0" applyFont="1"/>
    <xf numFmtId="0" fontId="1" fillId="0" borderId="1" xfId="0" applyFont="1" applyBorder="1"/>
    <xf numFmtId="0" fontId="0" fillId="2" borderId="1" xfId="0" applyFill="1" applyBorder="1" applyAlignment="1" applyProtection="1">
      <alignment horizontal="center" vertical="center"/>
      <protection locked="0"/>
    </xf>
    <xf numFmtId="0" fontId="0" fillId="0" borderId="1" xfId="0" applyBorder="1" applyAlignment="1">
      <alignment horizontal="left"/>
    </xf>
    <xf numFmtId="164" fontId="0" fillId="3" borderId="1" xfId="0" applyNumberFormat="1" applyFill="1" applyBorder="1" applyAlignment="1" applyProtection="1">
      <alignment horizontal="center" vertical="center"/>
      <protection hidden="1"/>
    </xf>
    <xf numFmtId="0" fontId="0" fillId="0" borderId="1" xfId="0" applyBorder="1"/>
    <xf numFmtId="2" fontId="0" fillId="3" borderId="1" xfId="0" applyNumberFormat="1" applyFill="1" applyBorder="1" applyAlignment="1" applyProtection="1">
      <alignment horizontal="center" vertical="center"/>
      <protection hidden="1"/>
    </xf>
    <xf numFmtId="0" fontId="0" fillId="0" borderId="0" xfId="0" applyAlignment="1">
      <alignment horizontal="center" vertical="center"/>
    </xf>
    <xf numFmtId="0" fontId="0" fillId="0" borderId="0" xfId="0" applyAlignment="1">
      <alignment horizontal="left"/>
    </xf>
    <xf numFmtId="1" fontId="0" fillId="3" borderId="1" xfId="0" applyNumberFormat="1" applyFill="1" applyBorder="1" applyAlignment="1" applyProtection="1">
      <alignment horizontal="center" vertical="center"/>
      <protection hidden="1"/>
    </xf>
    <xf numFmtId="0" fontId="0" fillId="0" borderId="1" xfId="0" applyBorder="1" applyAlignment="1">
      <alignment vertical="center"/>
    </xf>
    <xf numFmtId="0" fontId="0" fillId="0" borderId="0" xfId="0" applyAlignment="1">
      <alignment vertical="center"/>
    </xf>
    <xf numFmtId="0" fontId="0" fillId="0" borderId="0" xfId="0" applyAlignment="1" applyProtection="1">
      <alignment horizontal="center" vertical="center"/>
      <protection locked="0"/>
    </xf>
    <xf numFmtId="168" fontId="0" fillId="3" borderId="1" xfId="0" applyNumberFormat="1" applyFill="1" applyBorder="1" applyAlignment="1" applyProtection="1">
      <alignment horizontal="center" vertical="center"/>
      <protection hidden="1"/>
    </xf>
    <xf numFmtId="166" fontId="0" fillId="0" borderId="0" xfId="0" applyNumberFormat="1"/>
    <xf numFmtId="0" fontId="5" fillId="0" borderId="1" xfId="0" applyFont="1" applyBorder="1"/>
    <xf numFmtId="168" fontId="0" fillId="2" borderId="1" xfId="0" applyNumberFormat="1" applyFill="1" applyBorder="1" applyAlignment="1" applyProtection="1">
      <alignment horizontal="center" vertical="center"/>
      <protection locked="0"/>
    </xf>
    <xf numFmtId="11" fontId="0" fillId="0" borderId="0" xfId="0" applyNumberFormat="1"/>
    <xf numFmtId="1" fontId="0" fillId="0" borderId="0" xfId="0" applyNumberFormat="1" applyAlignment="1" applyProtection="1">
      <alignment horizontal="center" vertical="center"/>
      <protection hidden="1"/>
    </xf>
    <xf numFmtId="3" fontId="0" fillId="0" borderId="0" xfId="0" applyNumberFormat="1" applyAlignment="1">
      <alignment horizontal="center"/>
    </xf>
    <xf numFmtId="0" fontId="1" fillId="0" borderId="0" xfId="0" applyFont="1" applyAlignment="1">
      <alignment horizontal="center"/>
    </xf>
    <xf numFmtId="164" fontId="0" fillId="2" borderId="1" xfId="0" applyNumberFormat="1" applyFill="1" applyBorder="1" applyAlignment="1" applyProtection="1">
      <alignment horizontal="center" vertical="center"/>
      <protection locked="0"/>
    </xf>
    <xf numFmtId="0" fontId="0" fillId="2" borderId="1" xfId="0" applyFill="1" applyBorder="1"/>
    <xf numFmtId="0" fontId="0" fillId="3" borderId="1" xfId="0" applyFill="1" applyBorder="1"/>
    <xf numFmtId="9" fontId="0" fillId="0" borderId="0" xfId="0" applyNumberFormat="1" applyAlignment="1">
      <alignment horizontal="center"/>
    </xf>
    <xf numFmtId="0" fontId="0" fillId="0" borderId="0" xfId="0" applyAlignment="1">
      <alignment horizont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0" borderId="0" xfId="0" applyFont="1" applyAlignment="1">
      <alignment horizontal="center" vertical="center" wrapText="1"/>
    </xf>
    <xf numFmtId="9" fontId="0" fillId="0" borderId="0" xfId="0" applyNumberFormat="1"/>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0" borderId="2" xfId="0" applyFont="1" applyBorder="1"/>
    <xf numFmtId="0" fontId="0" fillId="2" borderId="2" xfId="0" applyFill="1" applyBorder="1" applyAlignment="1" applyProtection="1">
      <alignment horizontal="center" vertical="center"/>
      <protection locked="0"/>
    </xf>
    <xf numFmtId="0" fontId="0" fillId="0" borderId="2" xfId="0" applyBorder="1" applyAlignment="1">
      <alignment horizontal="left"/>
    </xf>
    <xf numFmtId="0" fontId="0" fillId="3" borderId="1" xfId="0" applyFill="1" applyBorder="1" applyAlignment="1">
      <alignment horizontal="center"/>
    </xf>
    <xf numFmtId="0" fontId="9" fillId="0" borderId="0" xfId="0" applyFont="1"/>
    <xf numFmtId="2" fontId="0" fillId="0" borderId="0" xfId="0" applyNumberFormat="1"/>
    <xf numFmtId="164" fontId="0" fillId="3" borderId="1" xfId="0" applyNumberFormat="1" applyFill="1" applyBorder="1" applyAlignment="1">
      <alignment horizontal="center"/>
    </xf>
    <xf numFmtId="168" fontId="0" fillId="3" borderId="1" xfId="0" applyNumberFormat="1" applyFill="1" applyBorder="1" applyAlignment="1">
      <alignment horizontal="center"/>
    </xf>
    <xf numFmtId="171" fontId="0" fillId="0" borderId="0" xfId="0" applyNumberFormat="1" applyAlignment="1">
      <alignment horizontal="center"/>
    </xf>
    <xf numFmtId="2" fontId="0" fillId="3" borderId="1" xfId="0" applyNumberFormat="1" applyFill="1" applyBorder="1" applyAlignment="1">
      <alignment horizontal="center"/>
    </xf>
    <xf numFmtId="0" fontId="5" fillId="0" borderId="2" xfId="0" applyFont="1" applyBorder="1"/>
    <xf numFmtId="1" fontId="0" fillId="3" borderId="1" xfId="0" applyNumberFormat="1" applyFill="1" applyBorder="1" applyAlignment="1">
      <alignment horizontal="center"/>
    </xf>
    <xf numFmtId="3" fontId="0" fillId="0" borderId="1" xfId="0" applyNumberFormat="1" applyBorder="1" applyAlignment="1">
      <alignment horizontal="center"/>
    </xf>
    <xf numFmtId="0" fontId="0" fillId="0" borderId="1" xfId="0" applyBorder="1" applyAlignment="1">
      <alignment horizontal="center"/>
    </xf>
    <xf numFmtId="164" fontId="0" fillId="0" borderId="0" xfId="0" applyNumberFormat="1"/>
    <xf numFmtId="0" fontId="1" fillId="0" borderId="1" xfId="0" applyFont="1" applyBorder="1" applyAlignment="1">
      <alignment horizontal="center"/>
    </xf>
    <xf numFmtId="170" fontId="0" fillId="0" borderId="1" xfId="0" applyNumberFormat="1" applyBorder="1"/>
    <xf numFmtId="169" fontId="0" fillId="0" borderId="1" xfId="0" applyNumberFormat="1" applyBorder="1"/>
    <xf numFmtId="167" fontId="0" fillId="0" borderId="1" xfId="0" applyNumberFormat="1" applyBorder="1"/>
    <xf numFmtId="166" fontId="0" fillId="0" borderId="1" xfId="0" applyNumberFormat="1" applyBorder="1"/>
    <xf numFmtId="2" fontId="0" fillId="0" borderId="1" xfId="0" applyNumberFormat="1" applyBorder="1"/>
    <xf numFmtId="2" fontId="1" fillId="0" borderId="1" xfId="0" applyNumberFormat="1" applyFont="1" applyBorder="1" applyAlignment="1">
      <alignment horizontal="center"/>
    </xf>
    <xf numFmtId="11" fontId="1" fillId="0" borderId="1" xfId="0" applyNumberFormat="1" applyFont="1" applyBorder="1" applyAlignment="1">
      <alignment horizontal="center"/>
    </xf>
    <xf numFmtId="2" fontId="0" fillId="3" borderId="1" xfId="0" applyNumberFormat="1" applyFill="1" applyBorder="1" applyAlignment="1">
      <alignment horizontal="center" vertical="center"/>
    </xf>
    <xf numFmtId="0" fontId="1" fillId="0" borderId="1" xfId="0" applyFont="1" applyBorder="1" applyAlignment="1">
      <alignment wrapText="1"/>
    </xf>
    <xf numFmtId="172" fontId="0" fillId="0" borderId="1" xfId="0" applyNumberFormat="1" applyBorder="1" applyAlignment="1">
      <alignment horizontal="center"/>
    </xf>
    <xf numFmtId="4" fontId="0" fillId="0" borderId="1" xfId="0" applyNumberFormat="1" applyBorder="1" applyAlignment="1">
      <alignment horizontal="center"/>
    </xf>
    <xf numFmtId="173" fontId="0" fillId="0" borderId="1" xfId="0" applyNumberFormat="1" applyBorder="1"/>
    <xf numFmtId="173" fontId="0" fillId="0" borderId="1" xfId="0" applyNumberFormat="1" applyBorder="1" applyAlignment="1">
      <alignment horizontal="center"/>
    </xf>
    <xf numFmtId="2" fontId="0" fillId="10" borderId="1" xfId="0" applyNumberFormat="1" applyFill="1" applyBorder="1" applyAlignment="1">
      <alignment horizontal="center"/>
    </xf>
    <xf numFmtId="2" fontId="0" fillId="10" borderId="1" xfId="0" applyNumberFormat="1" applyFill="1" applyBorder="1" applyAlignment="1" applyProtection="1">
      <alignment horizontal="center" vertical="center"/>
      <protection hidden="1"/>
    </xf>
    <xf numFmtId="168" fontId="0" fillId="10" borderId="1" xfId="0" applyNumberFormat="1" applyFill="1" applyBorder="1" applyAlignment="1" applyProtection="1">
      <alignment horizontal="center" vertical="center"/>
      <protection hidden="1"/>
    </xf>
    <xf numFmtId="0" fontId="0" fillId="10" borderId="1" xfId="0" applyFill="1" applyBorder="1"/>
    <xf numFmtId="0" fontId="1" fillId="0" borderId="2" xfId="0" applyFont="1" applyBorder="1" applyAlignment="1">
      <alignment wrapText="1"/>
    </xf>
    <xf numFmtId="0" fontId="0" fillId="2" borderId="1" xfId="0" applyFill="1" applyBorder="1" applyAlignment="1">
      <alignment vertical="center"/>
    </xf>
    <xf numFmtId="0" fontId="0" fillId="3" borderId="1" xfId="0" applyFill="1" applyBorder="1" applyAlignment="1">
      <alignment vertical="center"/>
    </xf>
    <xf numFmtId="0" fontId="0" fillId="10" borderId="1" xfId="0" applyFill="1" applyBorder="1" applyAlignment="1">
      <alignment vertical="center"/>
    </xf>
    <xf numFmtId="0" fontId="0" fillId="10" borderId="1" xfId="0" applyFill="1" applyBorder="1" applyAlignment="1">
      <alignment horizontal="center" vertical="center"/>
    </xf>
    <xf numFmtId="164" fontId="0" fillId="10" borderId="1" xfId="0" applyNumberFormat="1" applyFill="1" applyBorder="1" applyAlignment="1">
      <alignment horizontal="center" vertical="center"/>
    </xf>
    <xf numFmtId="2" fontId="0" fillId="10" borderId="1" xfId="0" applyNumberFormat="1" applyFill="1" applyBorder="1" applyAlignment="1">
      <alignment horizontal="center" vertical="center"/>
    </xf>
    <xf numFmtId="10" fontId="0" fillId="10" borderId="1" xfId="1" applyNumberFormat="1" applyFont="1" applyFill="1" applyBorder="1" applyAlignment="1">
      <alignment horizontal="center" vertical="center"/>
    </xf>
    <xf numFmtId="1" fontId="0" fillId="0" borderId="1" xfId="0" quotePrefix="1" applyNumberFormat="1" applyBorder="1" applyAlignment="1">
      <alignment horizontal="center"/>
    </xf>
    <xf numFmtId="2" fontId="0" fillId="0" borderId="1" xfId="0" applyNumberFormat="1" applyBorder="1" applyAlignment="1" applyProtection="1">
      <alignment horizontal="center" vertical="center"/>
      <protection hidden="1"/>
    </xf>
    <xf numFmtId="0" fontId="0" fillId="2" borderId="1" xfId="0" applyFill="1" applyBorder="1" applyAlignment="1">
      <alignment horizontal="center"/>
    </xf>
    <xf numFmtId="168" fontId="0" fillId="0" borderId="1" xfId="0" applyNumberFormat="1" applyBorder="1" applyAlignment="1" applyProtection="1">
      <alignment horizontal="center" vertical="center"/>
      <protection hidden="1"/>
    </xf>
    <xf numFmtId="0" fontId="0" fillId="0" borderId="1" xfId="0" applyBorder="1" applyAlignment="1" applyProtection="1">
      <alignment horizontal="center" vertical="center"/>
      <protection locked="0"/>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wrapText="1"/>
    </xf>
    <xf numFmtId="0" fontId="0" fillId="0" borderId="1" xfId="0" quotePrefix="1" applyBorder="1" applyAlignment="1">
      <alignment horizontal="center" vertical="center"/>
    </xf>
    <xf numFmtId="0" fontId="15" fillId="0" borderId="0" xfId="0" applyFont="1"/>
    <xf numFmtId="0" fontId="15" fillId="0" borderId="3" xfId="0" applyFont="1" applyBorder="1"/>
    <xf numFmtId="1" fontId="15" fillId="3" borderId="4" xfId="0" applyNumberFormat="1" applyFont="1" applyFill="1" applyBorder="1" applyAlignment="1" applyProtection="1">
      <alignment horizontal="center" vertical="center"/>
      <protection hidden="1"/>
    </xf>
    <xf numFmtId="0" fontId="15" fillId="0" borderId="5" xfId="0" applyFont="1" applyBorder="1"/>
    <xf numFmtId="1" fontId="15" fillId="3" borderId="6" xfId="0" applyNumberFormat="1" applyFont="1" applyFill="1" applyBorder="1" applyAlignment="1" applyProtection="1">
      <alignment horizontal="center" vertical="center"/>
      <protection hidden="1"/>
    </xf>
    <xf numFmtId="0" fontId="15" fillId="0" borderId="7" xfId="0" applyFont="1" applyBorder="1"/>
    <xf numFmtId="1" fontId="15" fillId="3" borderId="8" xfId="0" applyNumberFormat="1" applyFont="1" applyFill="1" applyBorder="1" applyAlignment="1" applyProtection="1">
      <alignment horizontal="center" vertical="center"/>
      <protection hidden="1"/>
    </xf>
    <xf numFmtId="0" fontId="16" fillId="0" borderId="1" xfId="0" applyFont="1" applyBorder="1"/>
    <xf numFmtId="0" fontId="15" fillId="10" borderId="1" xfId="0" applyFont="1" applyFill="1" applyBorder="1" applyAlignment="1" applyProtection="1">
      <alignment horizontal="center" vertical="center"/>
      <protection locked="0"/>
    </xf>
    <xf numFmtId="0" fontId="15" fillId="0" borderId="1" xfId="0" applyFont="1" applyBorder="1" applyAlignment="1">
      <alignment horizontal="left"/>
    </xf>
    <xf numFmtId="168" fontId="15" fillId="3" borderId="1" xfId="0" applyNumberFormat="1" applyFont="1" applyFill="1" applyBorder="1" applyAlignment="1" applyProtection="1">
      <alignment horizontal="center" vertical="center"/>
      <protection hidden="1"/>
    </xf>
    <xf numFmtId="0" fontId="1" fillId="0" borderId="0" xfId="0" applyFont="1" applyAlignment="1">
      <alignment horizontal="right"/>
    </xf>
    <xf numFmtId="0" fontId="1" fillId="0" borderId="0" xfId="0" applyFont="1" applyAlignment="1">
      <alignment horizontal="left"/>
    </xf>
    <xf numFmtId="0" fontId="3" fillId="0" borderId="1" xfId="0" applyFont="1" applyBorder="1"/>
    <xf numFmtId="0" fontId="6" fillId="0" borderId="0" xfId="0" applyFont="1" applyAlignment="1">
      <alignment horizontal="left" vertical="center" wrapText="1"/>
    </xf>
    <xf numFmtId="0" fontId="0" fillId="0" borderId="0" xfId="0" applyAlignment="1">
      <alignment horizontal="left" vertical="center"/>
    </xf>
    <xf numFmtId="168" fontId="0" fillId="3" borderId="9" xfId="0" applyNumberFormat="1" applyFill="1" applyBorder="1" applyAlignment="1">
      <alignment horizontal="center"/>
    </xf>
    <xf numFmtId="168" fontId="0" fillId="3" borderId="10" xfId="0" applyNumberFormat="1" applyFill="1" applyBorder="1" applyAlignment="1">
      <alignment horizontal="center"/>
    </xf>
    <xf numFmtId="0" fontId="0" fillId="10" borderId="9" xfId="0" applyFill="1" applyBorder="1" applyAlignment="1">
      <alignment horizontal="center"/>
    </xf>
    <xf numFmtId="0" fontId="0" fillId="10" borderId="10" xfId="0" applyFill="1" applyBorder="1" applyAlignment="1">
      <alignment horizontal="center"/>
    </xf>
    <xf numFmtId="168" fontId="0" fillId="3" borderId="9" xfId="0" applyNumberFormat="1" applyFill="1" applyBorder="1" applyAlignment="1" applyProtection="1">
      <alignment horizontal="center" vertical="center"/>
      <protection hidden="1"/>
    </xf>
    <xf numFmtId="168" fontId="0" fillId="3" borderId="10" xfId="0" applyNumberFormat="1" applyFill="1" applyBorder="1" applyAlignment="1" applyProtection="1">
      <alignment horizontal="center" vertical="center"/>
      <protection hidden="1"/>
    </xf>
    <xf numFmtId="164" fontId="0" fillId="10" borderId="9" xfId="0" applyNumberFormat="1" applyFill="1" applyBorder="1" applyAlignment="1">
      <alignment horizontal="center"/>
    </xf>
    <xf numFmtId="164" fontId="0" fillId="10" borderId="10" xfId="0" applyNumberFormat="1" applyFill="1" applyBorder="1" applyAlignment="1">
      <alignment horizontal="center"/>
    </xf>
    <xf numFmtId="165" fontId="0" fillId="3" borderId="9" xfId="0" applyNumberFormat="1" applyFill="1" applyBorder="1" applyAlignment="1" applyProtection="1">
      <alignment horizontal="center" vertical="center"/>
      <protection hidden="1"/>
    </xf>
    <xf numFmtId="165" fontId="0" fillId="3" borderId="10" xfId="0" applyNumberFormat="1" applyFill="1" applyBorder="1" applyAlignment="1" applyProtection="1">
      <alignment horizontal="center" vertical="center"/>
      <protection hidden="1"/>
    </xf>
    <xf numFmtId="0" fontId="1" fillId="8"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2" borderId="9"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1" fontId="0" fillId="3" borderId="1" xfId="0" applyNumberFormat="1" applyFill="1" applyBorder="1" applyAlignment="1">
      <alignment horizontal="center" vertical="center"/>
    </xf>
  </cellXfs>
  <cellStyles count="3">
    <cellStyle name="Normal" xfId="0" builtinId="0"/>
    <cellStyle name="Normal 2" xfId="2" xr:uid="{292254E7-CF9B-49ED-8CC0-C828E2DFB5DA}"/>
    <cellStyle name="Percent" xfId="1"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r>
              <a:rPr lang="en-US"/>
              <a:t>Output Impedance vs Frequency</a:t>
            </a:r>
          </a:p>
        </c:rich>
      </c:tx>
      <c:overlay val="0"/>
      <c:spPr>
        <a:noFill/>
        <a:ln>
          <a:noFill/>
        </a:ln>
        <a:effectLst/>
      </c:spPr>
      <c:txPr>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endParaRPr lang="en-US"/>
        </a:p>
      </c:txPr>
    </c:title>
    <c:autoTitleDeleted val="0"/>
    <c:plotArea>
      <c:layout/>
      <c:scatterChart>
        <c:scatterStyle val="smoothMarker"/>
        <c:varyColors val="0"/>
        <c:ser>
          <c:idx val="0"/>
          <c:order val="0"/>
          <c:tx>
            <c:strRef>
              <c:f>'COUT Network Design'!$P$6</c:f>
              <c:strCache>
                <c:ptCount val="1"/>
                <c:pt idx="0">
                  <c:v>Z(TOTAL)</c:v>
                </c:pt>
              </c:strCache>
            </c:strRef>
          </c:tx>
          <c:spPr>
            <a:ln w="25400" cap="rnd">
              <a:solidFill>
                <a:schemeClr val="accent1"/>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Design'!$P$7:$P$88</c:f>
              <c:numCache>
                <c:formatCode>General</c:formatCode>
                <c:ptCount val="82"/>
                <c:pt idx="0">
                  <c:v>1105.2426604895913</c:v>
                </c:pt>
                <c:pt idx="1">
                  <c:v>552.62133043860604</c:v>
                </c:pt>
                <c:pt idx="2">
                  <c:v>368.41422050774884</c:v>
                </c:pt>
                <c:pt idx="3">
                  <c:v>276.31066560692375</c:v>
                </c:pt>
                <c:pt idx="4">
                  <c:v>221.04853271811135</c:v>
                </c:pt>
                <c:pt idx="5">
                  <c:v>184.20711083530546</c:v>
                </c:pt>
                <c:pt idx="6">
                  <c:v>157.89180952736035</c:v>
                </c:pt>
                <c:pt idx="7">
                  <c:v>138.15533357870325</c:v>
                </c:pt>
                <c:pt idx="8">
                  <c:v>122.80474120290482</c:v>
                </c:pt>
                <c:pt idx="9">
                  <c:v>110.52426732810744</c:v>
                </c:pt>
                <c:pt idx="10">
                  <c:v>55.262135602157151</c:v>
                </c:pt>
                <c:pt idx="11">
                  <c:v>36.841425888219455</c:v>
                </c:pt>
                <c:pt idx="12">
                  <c:v>27.631071677284638</c:v>
                </c:pt>
                <c:pt idx="13">
                  <c:v>22.104859667550684</c:v>
                </c:pt>
                <c:pt idx="14">
                  <c:v>18.420718758416847</c:v>
                </c:pt>
                <c:pt idx="15">
                  <c:v>15.789189906768449</c:v>
                </c:pt>
                <c:pt idx="16">
                  <c:v>13.815543591048113</c:v>
                </c:pt>
                <c:pt idx="17">
                  <c:v>12.280485632612804</c:v>
                </c:pt>
                <c:pt idx="18">
                  <c:v>11.052439524276654</c:v>
                </c:pt>
                <c:pt idx="19">
                  <c:v>5.5262391430420656</c:v>
                </c:pt>
                <c:pt idx="20">
                  <c:v>3.6841809627978064</c:v>
                </c:pt>
                <c:pt idx="21">
                  <c:v>2.7631583325374502</c:v>
                </c:pt>
                <c:pt idx="22">
                  <c:v>2.2105499219753506</c:v>
                </c:pt>
                <c:pt idx="23">
                  <c:v>1.8421486209460052</c:v>
                </c:pt>
                <c:pt idx="24">
                  <c:v>1.5790085250325396</c:v>
                </c:pt>
                <c:pt idx="25">
                  <c:v>1.3816566819738314</c:v>
                </c:pt>
                <c:pt idx="26">
                  <c:v>1.2281636738002202</c:v>
                </c:pt>
                <c:pt idx="27">
                  <c:v>1.1053718496877947</c:v>
                </c:pt>
                <c:pt idx="28">
                  <c:v>0.55287960345514087</c:v>
                </c:pt>
                <c:pt idx="29">
                  <c:v>0.36880136697761318</c:v>
                </c:pt>
                <c:pt idx="30">
                  <c:v>0.27682637096583323</c:v>
                </c:pt>
                <c:pt idx="31">
                  <c:v>0.22169237937224431</c:v>
                </c:pt>
                <c:pt idx="32">
                  <c:v>0.18497857970428944</c:v>
                </c:pt>
                <c:pt idx="33">
                  <c:v>0.1587902819465761</c:v>
                </c:pt>
                <c:pt idx="34">
                  <c:v>0.13918009354394623</c:v>
                </c:pt>
                <c:pt idx="35">
                  <c:v>0.12395497793769596</c:v>
                </c:pt>
                <c:pt idx="36">
                  <c:v>0.11179907815150721</c:v>
                </c:pt>
                <c:pt idx="37">
                  <c:v>5.7715343167490822E-2</c:v>
                </c:pt>
                <c:pt idx="38">
                  <c:v>4.0310077133172521E-2</c:v>
                </c:pt>
                <c:pt idx="39">
                  <c:v>3.1925823622459659E-2</c:v>
                </c:pt>
                <c:pt idx="40">
                  <c:v>2.7041565932319815E-2</c:v>
                </c:pt>
                <c:pt idx="41">
                  <c:v>2.3837443940203831E-2</c:v>
                </c:pt>
                <c:pt idx="42">
                  <c:v>2.1551717059578833E-2</c:v>
                </c:pt>
                <c:pt idx="43">
                  <c:v>1.9816449780152935E-2</c:v>
                </c:pt>
                <c:pt idx="44">
                  <c:v>1.8435543161139052E-2</c:v>
                </c:pt>
                <c:pt idx="45">
                  <c:v>1.729640619464724E-2</c:v>
                </c:pt>
                <c:pt idx="46">
                  <c:v>1.1192330737429061E-2</c:v>
                </c:pt>
                <c:pt idx="47">
                  <c:v>8.3082795816165692E-3</c:v>
                </c:pt>
                <c:pt idx="48">
                  <c:v>6.4956339867855957E-3</c:v>
                </c:pt>
                <c:pt idx="49">
                  <c:v>5.2100967897278291E-3</c:v>
                </c:pt>
                <c:pt idx="50">
                  <c:v>4.2283459375119688E-3</c:v>
                </c:pt>
                <c:pt idx="51">
                  <c:v>3.4401151474703399E-3</c:v>
                </c:pt>
                <c:pt idx="52">
                  <c:v>2.7857096901599135E-3</c:v>
                </c:pt>
                <c:pt idx="53">
                  <c:v>2.2323307240134788E-3</c:v>
                </c:pt>
                <c:pt idx="54">
                  <c:v>1.764864921322766E-3</c:v>
                </c:pt>
                <c:pt idx="55">
                  <c:v>2.3438204770022389E-3</c:v>
                </c:pt>
                <c:pt idx="56">
                  <c:v>4.5810628684628679E-3</c:v>
                </c:pt>
                <c:pt idx="57">
                  <c:v>6.5867432770407661E-3</c:v>
                </c:pt>
                <c:pt idx="58">
                  <c:v>8.4991137141930892E-3</c:v>
                </c:pt>
                <c:pt idx="59">
                  <c:v>1.0367415836297321E-2</c:v>
                </c:pt>
                <c:pt idx="60">
                  <c:v>1.2211703446930145E-2</c:v>
                </c:pt>
                <c:pt idx="61">
                  <c:v>1.404150188507973E-2</c:v>
                </c:pt>
                <c:pt idx="62">
                  <c:v>1.5861888068883181E-2</c:v>
                </c:pt>
                <c:pt idx="63">
                  <c:v>1.767581158245092E-2</c:v>
                </c:pt>
                <c:pt idx="64">
                  <c:v>3.5677088986297151E-2</c:v>
                </c:pt>
                <c:pt idx="65">
                  <c:v>5.360505067317177E-2</c:v>
                </c:pt>
                <c:pt idx="66">
                  <c:v>7.1515028521540722E-2</c:v>
                </c:pt>
                <c:pt idx="67">
                  <c:v>8.9417848026477134E-2</c:v>
                </c:pt>
                <c:pt idx="68">
                  <c:v>0.10731709565689058</c:v>
                </c:pt>
                <c:pt idx="69">
                  <c:v>0.1252143043667914</c:v>
                </c:pt>
                <c:pt idx="70">
                  <c:v>0.1431102395388667</c:v>
                </c:pt>
                <c:pt idx="71">
                  <c:v>0.16100532602049722</c:v>
                </c:pt>
                <c:pt idx="72">
                  <c:v>0.17889981857761736</c:v>
                </c:pt>
                <c:pt idx="73">
                  <c:v>0.35783168274186927</c:v>
                </c:pt>
                <c:pt idx="74">
                  <c:v>0.53675642463121231</c:v>
                </c:pt>
                <c:pt idx="75">
                  <c:v>0.71567938631511441</c:v>
                </c:pt>
                <c:pt idx="76">
                  <c:v>0.89460163595265818</c:v>
                </c:pt>
                <c:pt idx="77">
                  <c:v>1.0735235295743879</c:v>
                </c:pt>
                <c:pt idx="78">
                  <c:v>1.2524452197606735</c:v>
                </c:pt>
                <c:pt idx="79">
                  <c:v>1.4313667828005969</c:v>
                </c:pt>
                <c:pt idx="80">
                  <c:v>1.6102882610766152</c:v>
                </c:pt>
                <c:pt idx="81">
                  <c:v>1.7892096800180577</c:v>
                </c:pt>
              </c:numCache>
            </c:numRef>
          </c:yVal>
          <c:smooth val="1"/>
          <c:extLst>
            <c:ext xmlns:c16="http://schemas.microsoft.com/office/drawing/2014/chart" uri="{C3380CC4-5D6E-409C-BE32-E72D297353CC}">
              <c16:uniqueId val="{00000000-2F3B-4CCE-BBDD-AC13E4060BB3}"/>
            </c:ext>
          </c:extLst>
        </c:ser>
        <c:ser>
          <c:idx val="1"/>
          <c:order val="1"/>
          <c:tx>
            <c:strRef>
              <c:f>'COUT Network Design'!$V$6</c:f>
              <c:strCache>
                <c:ptCount val="1"/>
                <c:pt idx="0">
                  <c:v>Z(BULK)</c:v>
                </c:pt>
              </c:strCache>
            </c:strRef>
          </c:tx>
          <c:spPr>
            <a:ln w="25400" cap="rnd">
              <a:solidFill>
                <a:schemeClr val="accent2"/>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Design'!$V$7:$V$88</c:f>
              <c:numCache>
                <c:formatCode>0.000000</c:formatCode>
                <c:ptCount val="82"/>
                <c:pt idx="0">
                  <c:v>1591.5494311872453</c:v>
                </c:pt>
                <c:pt idx="1">
                  <c:v>795.77471599606088</c:v>
                </c:pt>
                <c:pt idx="2">
                  <c:v>530.51647777786047</c:v>
                </c:pt>
                <c:pt idx="3">
                  <c:v>397.88735880290642</c:v>
                </c:pt>
                <c:pt idx="4">
                  <c:v>318.30988752525076</c:v>
                </c:pt>
                <c:pt idx="5">
                  <c:v>265.25824009624426</c:v>
                </c:pt>
                <c:pt idx="6">
                  <c:v>227.36420629503746</c:v>
                </c:pt>
                <c:pt idx="7">
                  <c:v>198.94368101120526</c:v>
                </c:pt>
                <c:pt idx="8">
                  <c:v>176.83882807228957</c:v>
                </c:pt>
                <c:pt idx="9">
                  <c:v>159.15494577481547</c:v>
                </c:pt>
                <c:pt idx="10">
                  <c:v>79.577476911787741</c:v>
                </c:pt>
                <c:pt idx="11">
                  <c:v>53.051655746058216</c:v>
                </c:pt>
                <c:pt idx="12">
                  <c:v>39.788746504652899</c:v>
                </c:pt>
                <c:pt idx="13">
                  <c:v>31.83100203297688</c:v>
                </c:pt>
                <c:pt idx="14">
                  <c:v>26.525839946165114</c:v>
                </c:pt>
                <c:pt idx="15">
                  <c:v>22.736439222132482</c:v>
                </c:pt>
                <c:pt idx="16">
                  <c:v>19.894389349836381</c:v>
                </c:pt>
                <c:pt idx="17">
                  <c:v>17.683906712030844</c:v>
                </c:pt>
                <c:pt idx="18">
                  <c:v>15.915521138368248</c:v>
                </c:pt>
                <c:pt idx="19">
                  <c:v>7.9578008128169087</c:v>
                </c:pt>
                <c:pt idx="20">
                  <c:v>5.3052452567248496</c:v>
                </c:pt>
                <c:pt idx="21">
                  <c:v>3.9789808926594117</c:v>
                </c:pt>
                <c:pt idx="22">
                  <c:v>3.1832330050258637</c:v>
                </c:pt>
                <c:pt idx="23">
                  <c:v>2.6527433552024706</c:v>
                </c:pt>
                <c:pt idx="24">
                  <c:v>2.2738298408455204</c:v>
                </c:pt>
                <c:pt idx="25">
                  <c:v>1.9896514107155749</c:v>
                </c:pt>
                <c:pt idx="26">
                  <c:v>1.7686297029528935</c:v>
                </c:pt>
                <c:pt idx="27">
                  <c:v>1.5918177003876059</c:v>
                </c:pt>
                <c:pt idx="28">
                  <c:v>0.79631111922412257</c:v>
                </c:pt>
                <c:pt idx="29">
                  <c:v>0.53132074514307703</c:v>
                </c:pt>
                <c:pt idx="30">
                  <c:v>0.39895908660238094</c:v>
                </c:pt>
                <c:pt idx="31">
                  <c:v>0.31964853959209411</c:v>
                </c:pt>
                <c:pt idx="32">
                  <c:v>0.26686314957900542</c:v>
                </c:pt>
                <c:pt idx="33">
                  <c:v>0.22923457785284704</c:v>
                </c:pt>
                <c:pt idx="34">
                  <c:v>0.20107859340591497</c:v>
                </c:pt>
                <c:pt idx="35">
                  <c:v>0.17923723713583611</c:v>
                </c:pt>
                <c:pt idx="36">
                  <c:v>0.16181568772732566</c:v>
                </c:pt>
                <c:pt idx="37">
                  <c:v>8.4774155931968811E-2</c:v>
                </c:pt>
                <c:pt idx="38">
                  <c:v>6.0569507841359303E-2</c:v>
                </c:pt>
                <c:pt idx="39">
                  <c:v>4.937081769363489E-2</c:v>
                </c:pt>
                <c:pt idx="40">
                  <c:v>4.3217287495818102E-2</c:v>
                </c:pt>
                <c:pt idx="41">
                  <c:v>3.947621002368927E-2</c:v>
                </c:pt>
                <c:pt idx="42">
                  <c:v>3.704008820945822E-2</c:v>
                </c:pt>
                <c:pt idx="43">
                  <c:v>3.537120940693568E-2</c:v>
                </c:pt>
                <c:pt idx="44">
                  <c:v>3.4182032024379957E-2</c:v>
                </c:pt>
                <c:pt idx="45">
                  <c:v>3.3307527188266545E-2</c:v>
                </c:pt>
                <c:pt idx="46">
                  <c:v>3.042497942384749E-2</c:v>
                </c:pt>
                <c:pt idx="47">
                  <c:v>3.0015670038421885E-2</c:v>
                </c:pt>
                <c:pt idx="48">
                  <c:v>3.0054050768647533E-2</c:v>
                </c:pt>
                <c:pt idx="49">
                  <c:v>3.0271146751419849E-2</c:v>
                </c:pt>
                <c:pt idx="50">
                  <c:v>3.0597694223490662E-2</c:v>
                </c:pt>
                <c:pt idx="51">
                  <c:v>3.100808691966133E-2</c:v>
                </c:pt>
                <c:pt idx="52">
                  <c:v>3.1489934731233425E-2</c:v>
                </c:pt>
                <c:pt idx="53">
                  <c:v>3.2035734245041261E-2</c:v>
                </c:pt>
                <c:pt idx="54">
                  <c:v>3.2640065237650936E-2</c:v>
                </c:pt>
                <c:pt idx="55">
                  <c:v>4.1109567911934659E-2</c:v>
                </c:pt>
                <c:pt idx="56">
                  <c:v>5.2286221032656365E-2</c:v>
                </c:pt>
                <c:pt idx="57">
                  <c:v>6.477354074297817E-2</c:v>
                </c:pt>
                <c:pt idx="58">
                  <c:v>7.7943069283675961E-2</c:v>
                </c:pt>
                <c:pt idx="59">
                  <c:v>9.1500492952261814E-2</c:v>
                </c:pt>
                <c:pt idx="60">
                  <c:v>0.10529602234513391</c:v>
                </c:pt>
                <c:pt idx="61">
                  <c:v>0.1192470236220536</c:v>
                </c:pt>
                <c:pt idx="62">
                  <c:v>0.13330468270567758</c:v>
                </c:pt>
                <c:pt idx="63">
                  <c:v>0.1474384896931632</c:v>
                </c:pt>
                <c:pt idx="64">
                  <c:v>0.29050015143437413</c:v>
                </c:pt>
                <c:pt idx="65">
                  <c:v>0.43452358857583673</c:v>
                </c:pt>
                <c:pt idx="66">
                  <c:v>0.57879126478068488</c:v>
                </c:pt>
                <c:pt idx="67">
                  <c:v>0.72315701879387073</c:v>
                </c:pt>
                <c:pt idx="68">
                  <c:v>0.86757189071626917</c:v>
                </c:pt>
                <c:pt idx="69">
                  <c:v>1.0120148532701947</c:v>
                </c:pt>
                <c:pt idx="70">
                  <c:v>1.156475380978303</c:v>
                </c:pt>
                <c:pt idx="71">
                  <c:v>1.3009476224052339</c:v>
                </c:pt>
                <c:pt idx="72">
                  <c:v>1.4454280651501863</c:v>
                </c:pt>
                <c:pt idx="73">
                  <c:v>2.890412974843795</c:v>
                </c:pt>
                <c:pt idx="74">
                  <c:v>4.3354963523756673</c:v>
                </c:pt>
                <c:pt idx="75">
                  <c:v>5.7806043507875504</c:v>
                </c:pt>
                <c:pt idx="76">
                  <c:v>7.2257221979379223</c:v>
                </c:pt>
                <c:pt idx="77">
                  <c:v>8.6708449695370113</c:v>
                </c:pt>
                <c:pt idx="78">
                  <c:v>10.115970555130144</c:v>
                </c:pt>
                <c:pt idx="79">
                  <c:v>11.561097899478078</c:v>
                </c:pt>
                <c:pt idx="80">
                  <c:v>13.006226416332844</c:v>
                </c:pt>
                <c:pt idx="81">
                  <c:v>14.451355753944103</c:v>
                </c:pt>
              </c:numCache>
            </c:numRef>
          </c:yVal>
          <c:smooth val="1"/>
          <c:extLst>
            <c:ext xmlns:c16="http://schemas.microsoft.com/office/drawing/2014/chart" uri="{C3380CC4-5D6E-409C-BE32-E72D297353CC}">
              <c16:uniqueId val="{00000001-2F3B-4CCE-BBDD-AC13E4060BB3}"/>
            </c:ext>
          </c:extLst>
        </c:ser>
        <c:ser>
          <c:idx val="2"/>
          <c:order val="2"/>
          <c:tx>
            <c:strRef>
              <c:f>'COUT Network Design'!$AA$6</c:f>
              <c:strCache>
                <c:ptCount val="1"/>
                <c:pt idx="0">
                  <c:v>Z(MF1)</c:v>
                </c:pt>
              </c:strCache>
            </c:strRef>
          </c:tx>
          <c:spPr>
            <a:ln w="25400" cap="rnd">
              <a:solidFill>
                <a:schemeClr val="accent3"/>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Design'!$AA$7:$AA$88</c:f>
              <c:numCache>
                <c:formatCode>0.000000</c:formatCode>
                <c:ptCount val="8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numCache>
            </c:numRef>
          </c:yVal>
          <c:smooth val="1"/>
          <c:extLst>
            <c:ext xmlns:c16="http://schemas.microsoft.com/office/drawing/2014/chart" uri="{C3380CC4-5D6E-409C-BE32-E72D297353CC}">
              <c16:uniqueId val="{00000002-2F3B-4CCE-BBDD-AC13E4060BB3}"/>
            </c:ext>
          </c:extLst>
        </c:ser>
        <c:ser>
          <c:idx val="3"/>
          <c:order val="3"/>
          <c:tx>
            <c:strRef>
              <c:f>'COUT Network Design'!$AF$6</c:f>
              <c:strCache>
                <c:ptCount val="1"/>
                <c:pt idx="0">
                  <c:v>Z(HF)</c:v>
                </c:pt>
              </c:strCache>
            </c:strRef>
          </c:tx>
          <c:spPr>
            <a:ln w="25400" cap="rnd">
              <a:solidFill>
                <a:schemeClr val="accent4"/>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Design'!$AF$7:$AF$88</c:f>
              <c:numCache>
                <c:formatCode>0.000000</c:formatCode>
                <c:ptCount val="82"/>
                <c:pt idx="0">
                  <c:v>3617.1577975411724</c:v>
                </c:pt>
                <c:pt idx="1">
                  <c:v>1808.5788987677304</c:v>
                </c:pt>
                <c:pt idx="2">
                  <c:v>1205.7192658419806</c:v>
                </c:pt>
                <c:pt idx="3">
                  <c:v>904.28944937815379</c:v>
                </c:pt>
                <c:pt idx="4">
                  <c:v>723.43155949909601</c:v>
                </c:pt>
                <c:pt idx="5">
                  <c:v>602.85963291242308</c:v>
                </c:pt>
                <c:pt idx="6">
                  <c:v>516.73682820711269</c:v>
                </c:pt>
                <c:pt idx="7">
                  <c:v>452.14472467765404</c:v>
                </c:pt>
                <c:pt idx="8">
                  <c:v>401.90642193209641</c:v>
                </c:pt>
                <c:pt idx="9">
                  <c:v>361.71577973526945</c:v>
                </c:pt>
                <c:pt idx="10">
                  <c:v>180.85788983907767</c:v>
                </c:pt>
                <c:pt idx="11">
                  <c:v>120.57192652765505</c:v>
                </c:pt>
                <c:pt idx="12">
                  <c:v>90.428944862424686</c:v>
                </c:pt>
                <c:pt idx="13">
                  <c:v>72.343155855671256</c:v>
                </c:pt>
                <c:pt idx="14">
                  <c:v>60.285963178156294</c:v>
                </c:pt>
                <c:pt idx="15">
                  <c:v>51.673682688777582</c:v>
                </c:pt>
                <c:pt idx="16">
                  <c:v>45.214472316984029</c:v>
                </c:pt>
                <c:pt idx="17">
                  <c:v>40.190642023580601</c:v>
                </c:pt>
                <c:pt idx="18">
                  <c:v>36.171577785050239</c:v>
                </c:pt>
                <c:pt idx="19">
                  <c:v>18.085788606954353</c:v>
                </c:pt>
                <c:pt idx="20">
                  <c:v>12.05719208733538</c:v>
                </c:pt>
                <c:pt idx="21">
                  <c:v>9.0428937323356351</c:v>
                </c:pt>
                <c:pt idx="22">
                  <c:v>7.2343146431835885</c:v>
                </c:pt>
                <c:pt idx="23">
                  <c:v>6.0285951869553882</c:v>
                </c:pt>
                <c:pt idx="24">
                  <c:v>5.1673669495408179</c:v>
                </c:pt>
                <c:pt idx="25">
                  <c:v>4.5214457238847645</c:v>
                </c:pt>
                <c:pt idx="26">
                  <c:v>4.0190625060677281</c:v>
                </c:pt>
                <c:pt idx="27">
                  <c:v>3.6171558937380039</c:v>
                </c:pt>
                <c:pt idx="28">
                  <c:v>1.8085750911618454</c:v>
                </c:pt>
                <c:pt idx="29">
                  <c:v>1.2057135544342832</c:v>
                </c:pt>
                <c:pt idx="30">
                  <c:v>0.9042818341700023</c:v>
                </c:pt>
                <c:pt idx="31">
                  <c:v>0.72342204049229952</c:v>
                </c:pt>
                <c:pt idx="32">
                  <c:v>0.60284821010924317</c:v>
                </c:pt>
                <c:pt idx="33">
                  <c:v>0.51672350161026426</c:v>
                </c:pt>
                <c:pt idx="34">
                  <c:v>0.45212949429030375</c:v>
                </c:pt>
                <c:pt idx="35">
                  <c:v>0.40188928775786348</c:v>
                </c:pt>
                <c:pt idx="36">
                  <c:v>0.36169674177822619</c:v>
                </c:pt>
                <c:pt idx="37">
                  <c:v>0.18081981437748218</c:v>
                </c:pt>
                <c:pt idx="38">
                  <c:v>0.12051481446696635</c:v>
                </c:pt>
                <c:pt idx="39">
                  <c:v>9.0352797562023607E-2</c:v>
                </c:pt>
                <c:pt idx="40">
                  <c:v>7.2247975130294073E-2</c:v>
                </c:pt>
                <c:pt idx="41">
                  <c:v>6.017175129981104E-2</c:v>
                </c:pt>
                <c:pt idx="42">
                  <c:v>5.1540442389147033E-2</c:v>
                </c:pt>
                <c:pt idx="43">
                  <c:v>4.5062206790320608E-2</c:v>
                </c:pt>
                <c:pt idx="44">
                  <c:v>4.0019354930099317E-2</c:v>
                </c:pt>
                <c:pt idx="45">
                  <c:v>3.5981273254827091E-2</c:v>
                </c:pt>
                <c:pt idx="46">
                  <c:v>1.7705644081755911E-2</c:v>
                </c:pt>
                <c:pt idx="47">
                  <c:v>1.1488187813500174E-2</c:v>
                </c:pt>
                <c:pt idx="48">
                  <c:v>8.2866397780902781E-3</c:v>
                </c:pt>
                <c:pt idx="49">
                  <c:v>6.2932560587858257E-3</c:v>
                </c:pt>
                <c:pt idx="50">
                  <c:v>4.906364566314437E-3</c:v>
                </c:pt>
                <c:pt idx="51">
                  <c:v>3.869395630113345E-3</c:v>
                </c:pt>
                <c:pt idx="52">
                  <c:v>3.0560593849085658E-3</c:v>
                </c:pt>
                <c:pt idx="53">
                  <c:v>2.3995364747881704E-3</c:v>
                </c:pt>
                <c:pt idx="54">
                  <c:v>1.8657467992896726E-3</c:v>
                </c:pt>
                <c:pt idx="55">
                  <c:v>2.4855304862735866E-3</c:v>
                </c:pt>
                <c:pt idx="56">
                  <c:v>5.0209762407774161E-3</c:v>
                </c:pt>
                <c:pt idx="57">
                  <c:v>7.3323623674029651E-3</c:v>
                </c:pt>
                <c:pt idx="58">
                  <c:v>9.5393040854703948E-3</c:v>
                </c:pt>
                <c:pt idx="59">
                  <c:v>1.169219378067482E-2</c:v>
                </c:pt>
                <c:pt idx="60">
                  <c:v>1.3813753102993572E-2</c:v>
                </c:pt>
                <c:pt idx="61">
                  <c:v>1.5915583890790706E-2</c:v>
                </c:pt>
                <c:pt idx="62">
                  <c:v>1.8004203345762273E-2</c:v>
                </c:pt>
                <c:pt idx="63">
                  <c:v>2.0083547918100065E-2</c:v>
                </c:pt>
                <c:pt idx="64">
                  <c:v>4.0672141892058075E-2</c:v>
                </c:pt>
                <c:pt idx="65">
                  <c:v>6.1148662158962905E-2</c:v>
                </c:pt>
                <c:pt idx="66">
                  <c:v>8.1597107946653133E-2</c:v>
                </c:pt>
                <c:pt idx="67">
                  <c:v>0.10203431851543929</c:v>
                </c:pt>
                <c:pt idx="68">
                  <c:v>0.12246591036358467</c:v>
                </c:pt>
                <c:pt idx="69">
                  <c:v>0.14289429118845867</c:v>
                </c:pt>
                <c:pt idx="70">
                  <c:v>0.16332066500483466</c:v>
                </c:pt>
                <c:pt idx="71">
                  <c:v>0.18374570076506022</c:v>
                </c:pt>
                <c:pt idx="72">
                  <c:v>0.2041697998620581</c:v>
                </c:pt>
                <c:pt idx="73">
                  <c:v>0.40839018349886075</c:v>
                </c:pt>
                <c:pt idx="74">
                  <c:v>0.61259932645206683</c:v>
                </c:pt>
                <c:pt idx="75">
                  <c:v>0.81680565917979642</c:v>
                </c:pt>
                <c:pt idx="76">
                  <c:v>1.0210108678119574</c:v>
                </c:pt>
                <c:pt idx="77">
                  <c:v>1.2252155143952277</c:v>
                </c:pt>
                <c:pt idx="78">
                  <c:v>1.4294198398073792</c:v>
                </c:pt>
                <c:pt idx="79">
                  <c:v>1.6336239644874622</c:v>
                </c:pt>
                <c:pt idx="80">
                  <c:v>1.8378279553461163</c:v>
                </c:pt>
                <c:pt idx="81">
                  <c:v>2.0420318525297456</c:v>
                </c:pt>
              </c:numCache>
            </c:numRef>
          </c:yVal>
          <c:smooth val="1"/>
          <c:extLst>
            <c:ext xmlns:c16="http://schemas.microsoft.com/office/drawing/2014/chart" uri="{C3380CC4-5D6E-409C-BE32-E72D297353CC}">
              <c16:uniqueId val="{00000003-2F3B-4CCE-BBDD-AC13E4060BB3}"/>
            </c:ext>
          </c:extLst>
        </c:ser>
        <c:ser>
          <c:idx val="4"/>
          <c:order val="4"/>
          <c:tx>
            <c:strRef>
              <c:f>'COUT Network Design'!$Q$6</c:f>
              <c:strCache>
                <c:ptCount val="1"/>
                <c:pt idx="0">
                  <c:v>Z(TARGET)</c:v>
                </c:pt>
              </c:strCache>
            </c:strRef>
          </c:tx>
          <c:spPr>
            <a:ln w="25400" cap="rnd">
              <a:solidFill>
                <a:schemeClr val="tx1"/>
              </a:solidFill>
              <a:prstDash val="sysDash"/>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Design'!$Q$7:$Q$88</c:f>
              <c:numCache>
                <c:formatCode>General</c:formatCode>
                <c:ptCount val="82"/>
                <c:pt idx="0">
                  <c:v>3.3272727272727266E-2</c:v>
                </c:pt>
                <c:pt idx="1">
                  <c:v>3.3272727272727266E-2</c:v>
                </c:pt>
                <c:pt idx="2">
                  <c:v>3.3272727272727266E-2</c:v>
                </c:pt>
                <c:pt idx="3">
                  <c:v>3.3272727272727266E-2</c:v>
                </c:pt>
                <c:pt idx="4">
                  <c:v>3.3272727272727266E-2</c:v>
                </c:pt>
                <c:pt idx="5">
                  <c:v>3.3272727272727266E-2</c:v>
                </c:pt>
                <c:pt idx="6">
                  <c:v>3.3272727272727266E-2</c:v>
                </c:pt>
                <c:pt idx="7">
                  <c:v>3.3272727272727266E-2</c:v>
                </c:pt>
                <c:pt idx="8">
                  <c:v>3.3272727272727266E-2</c:v>
                </c:pt>
                <c:pt idx="9">
                  <c:v>3.3272727272727266E-2</c:v>
                </c:pt>
                <c:pt idx="10">
                  <c:v>3.3272727272727266E-2</c:v>
                </c:pt>
                <c:pt idx="11">
                  <c:v>3.3272727272727266E-2</c:v>
                </c:pt>
                <c:pt idx="12">
                  <c:v>3.3272727272727266E-2</c:v>
                </c:pt>
                <c:pt idx="13">
                  <c:v>3.3272727272727266E-2</c:v>
                </c:pt>
                <c:pt idx="14">
                  <c:v>3.3272727272727266E-2</c:v>
                </c:pt>
                <c:pt idx="15">
                  <c:v>3.3272727272727266E-2</c:v>
                </c:pt>
                <c:pt idx="16">
                  <c:v>3.3272727272727266E-2</c:v>
                </c:pt>
                <c:pt idx="17">
                  <c:v>3.3272727272727266E-2</c:v>
                </c:pt>
                <c:pt idx="18">
                  <c:v>3.3272727272727266E-2</c:v>
                </c:pt>
                <c:pt idx="19">
                  <c:v>3.3272727272727266E-2</c:v>
                </c:pt>
                <c:pt idx="20">
                  <c:v>3.3272727272727266E-2</c:v>
                </c:pt>
                <c:pt idx="21">
                  <c:v>3.3272727272727266E-2</c:v>
                </c:pt>
                <c:pt idx="22">
                  <c:v>3.3272727272727266E-2</c:v>
                </c:pt>
                <c:pt idx="23">
                  <c:v>3.3272727272727266E-2</c:v>
                </c:pt>
                <c:pt idx="24">
                  <c:v>3.3272727272727266E-2</c:v>
                </c:pt>
                <c:pt idx="25">
                  <c:v>3.3272727272727266E-2</c:v>
                </c:pt>
                <c:pt idx="26">
                  <c:v>3.3272727272727266E-2</c:v>
                </c:pt>
                <c:pt idx="27">
                  <c:v>3.3272727272727266E-2</c:v>
                </c:pt>
                <c:pt idx="28">
                  <c:v>3.3272727272727266E-2</c:v>
                </c:pt>
                <c:pt idx="29">
                  <c:v>3.3272727272727266E-2</c:v>
                </c:pt>
                <c:pt idx="30">
                  <c:v>3.3272727272727266E-2</c:v>
                </c:pt>
                <c:pt idx="31">
                  <c:v>3.3272727272727266E-2</c:v>
                </c:pt>
                <c:pt idx="32">
                  <c:v>3.3272727272727266E-2</c:v>
                </c:pt>
                <c:pt idx="33">
                  <c:v>3.3272727272727266E-2</c:v>
                </c:pt>
                <c:pt idx="34">
                  <c:v>3.3272727272727266E-2</c:v>
                </c:pt>
                <c:pt idx="35">
                  <c:v>3.3272727272727266E-2</c:v>
                </c:pt>
                <c:pt idx="36">
                  <c:v>3.3272727272727266E-2</c:v>
                </c:pt>
                <c:pt idx="37">
                  <c:v>3.3272727272727266E-2</c:v>
                </c:pt>
                <c:pt idx="38">
                  <c:v>3.3272727272727266E-2</c:v>
                </c:pt>
                <c:pt idx="39">
                  <c:v>3.3272727272727266E-2</c:v>
                </c:pt>
                <c:pt idx="40">
                  <c:v>3.3272727272727266E-2</c:v>
                </c:pt>
                <c:pt idx="41">
                  <c:v>3.3272727272727266E-2</c:v>
                </c:pt>
                <c:pt idx="42">
                  <c:v>3.3272727272727266E-2</c:v>
                </c:pt>
                <c:pt idx="43">
                  <c:v>3.3272727272727266E-2</c:v>
                </c:pt>
                <c:pt idx="44">
                  <c:v>3.3272727272727266E-2</c:v>
                </c:pt>
                <c:pt idx="45">
                  <c:v>3.3272727272727266E-2</c:v>
                </c:pt>
                <c:pt idx="46">
                  <c:v>3.3272727272727266E-2</c:v>
                </c:pt>
                <c:pt idx="47">
                  <c:v>3.3272727272727266E-2</c:v>
                </c:pt>
                <c:pt idx="48">
                  <c:v>3.3272727272727266E-2</c:v>
                </c:pt>
                <c:pt idx="49">
                  <c:v>3.3272727272727266E-2</c:v>
                </c:pt>
                <c:pt idx="50">
                  <c:v>3.3272727272727266E-2</c:v>
                </c:pt>
                <c:pt idx="51">
                  <c:v>3.3272727272727266E-2</c:v>
                </c:pt>
                <c:pt idx="52">
                  <c:v>3.3272727272727266E-2</c:v>
                </c:pt>
                <c:pt idx="53">
                  <c:v>3.3272727272727266E-2</c:v>
                </c:pt>
                <c:pt idx="54">
                  <c:v>3.3272727272727266E-2</c:v>
                </c:pt>
                <c:pt idx="55">
                  <c:v>3.3272727272727266E-2</c:v>
                </c:pt>
                <c:pt idx="56">
                  <c:v>3.3272727272727266E-2</c:v>
                </c:pt>
                <c:pt idx="57">
                  <c:v>3.3272727272727266E-2</c:v>
                </c:pt>
                <c:pt idx="58">
                  <c:v>3.3272727272727266E-2</c:v>
                </c:pt>
                <c:pt idx="59">
                  <c:v>3.3272727272727266E-2</c:v>
                </c:pt>
                <c:pt idx="60">
                  <c:v>3.3272727272727266E-2</c:v>
                </c:pt>
                <c:pt idx="61">
                  <c:v>3.3272727272727266E-2</c:v>
                </c:pt>
                <c:pt idx="62">
                  <c:v>3.3272727272727266E-2</c:v>
                </c:pt>
                <c:pt idx="63">
                  <c:v>3.3272727272727266E-2</c:v>
                </c:pt>
                <c:pt idx="64">
                  <c:v>3.3272727272727266E-2</c:v>
                </c:pt>
                <c:pt idx="65">
                  <c:v>3.3272727272727266E-2</c:v>
                </c:pt>
                <c:pt idx="66">
                  <c:v>3.3272727272727266E-2</c:v>
                </c:pt>
                <c:pt idx="67">
                  <c:v>3.3272727272727266E-2</c:v>
                </c:pt>
                <c:pt idx="68">
                  <c:v>3.3272727272727266E-2</c:v>
                </c:pt>
                <c:pt idx="69">
                  <c:v>3.3272727272727266E-2</c:v>
                </c:pt>
                <c:pt idx="70">
                  <c:v>3.3272727272727266E-2</c:v>
                </c:pt>
                <c:pt idx="71">
                  <c:v>3.3272727272727266E-2</c:v>
                </c:pt>
                <c:pt idx="72">
                  <c:v>3.3272727272727266E-2</c:v>
                </c:pt>
                <c:pt idx="73">
                  <c:v>3.3272727272727266E-2</c:v>
                </c:pt>
                <c:pt idx="74">
                  <c:v>3.3272727272727266E-2</c:v>
                </c:pt>
                <c:pt idx="75">
                  <c:v>3.3272727272727266E-2</c:v>
                </c:pt>
                <c:pt idx="76">
                  <c:v>3.3272727272727266E-2</c:v>
                </c:pt>
                <c:pt idx="77">
                  <c:v>3.3272727272727266E-2</c:v>
                </c:pt>
                <c:pt idx="78">
                  <c:v>3.3272727272727266E-2</c:v>
                </c:pt>
                <c:pt idx="79">
                  <c:v>3.3272727272727266E-2</c:v>
                </c:pt>
                <c:pt idx="80">
                  <c:v>3.3272727272727266E-2</c:v>
                </c:pt>
                <c:pt idx="81">
                  <c:v>3.3272727272727266E-2</c:v>
                </c:pt>
              </c:numCache>
            </c:numRef>
          </c:yVal>
          <c:smooth val="1"/>
          <c:extLst>
            <c:ext xmlns:c16="http://schemas.microsoft.com/office/drawing/2014/chart" uri="{C3380CC4-5D6E-409C-BE32-E72D297353CC}">
              <c16:uniqueId val="{00000000-962A-436E-820F-E449CF0E1D01}"/>
            </c:ext>
          </c:extLst>
        </c:ser>
        <c:ser>
          <c:idx val="5"/>
          <c:order val="5"/>
          <c:tx>
            <c:strRef>
              <c:f>'COUT Network Design'!$AH$6</c:f>
              <c:strCache>
                <c:ptCount val="1"/>
                <c:pt idx="0">
                  <c:v>fC</c:v>
                </c:pt>
              </c:strCache>
            </c:strRef>
          </c:tx>
          <c:spPr>
            <a:ln w="19050" cap="rnd">
              <a:solidFill>
                <a:srgbClr val="00B050"/>
              </a:solidFill>
              <a:prstDash val="sysDash"/>
              <a:round/>
            </a:ln>
            <a:effectLst/>
          </c:spPr>
          <c:marker>
            <c:symbol val="none"/>
          </c:marker>
          <c:errBars>
            <c:errDir val="x"/>
            <c:errBarType val="both"/>
            <c:errValType val="percentage"/>
            <c:noEndCap val="0"/>
            <c:val val="0"/>
            <c:spPr>
              <a:noFill/>
              <a:ln w="9525" cap="flat" cmpd="sng" algn="ctr">
                <a:solidFill>
                  <a:schemeClr val="tx1">
                    <a:lumMod val="65000"/>
                    <a:lumOff val="35000"/>
                  </a:schemeClr>
                </a:solidFill>
                <a:round/>
              </a:ln>
              <a:effectLst/>
            </c:spPr>
          </c:errBars>
          <c:errBars>
            <c:errDir val="y"/>
            <c:errBarType val="both"/>
            <c:errValType val="fixedVal"/>
            <c:noEndCap val="0"/>
            <c:val val="100"/>
            <c:spPr>
              <a:noFill/>
              <a:ln w="25400" cap="flat" cmpd="sng" algn="ctr">
                <a:solidFill>
                  <a:srgbClr val="00B050"/>
                </a:solidFill>
                <a:prstDash val="sysDash"/>
                <a:round/>
              </a:ln>
              <a:effectLst/>
            </c:spPr>
          </c:errBars>
          <c:xVal>
            <c:numRef>
              <c:f>'COUT Network Design'!$AH$7</c:f>
              <c:numCache>
                <c:formatCode>0.00</c:formatCode>
                <c:ptCount val="1"/>
                <c:pt idx="0">
                  <c:v>50000</c:v>
                </c:pt>
              </c:numCache>
            </c:numRef>
          </c:xVal>
          <c:yVal>
            <c:numRef>
              <c:f>'COUT Network Design'!$AI$7</c:f>
              <c:numCache>
                <c:formatCode>General</c:formatCode>
                <c:ptCount val="1"/>
                <c:pt idx="0">
                  <c:v>1.0000000000000001E-5</c:v>
                </c:pt>
              </c:numCache>
            </c:numRef>
          </c:yVal>
          <c:smooth val="1"/>
          <c:extLst>
            <c:ext xmlns:c16="http://schemas.microsoft.com/office/drawing/2014/chart" uri="{C3380CC4-5D6E-409C-BE32-E72D297353CC}">
              <c16:uniqueId val="{00000001-FE8F-400B-8263-69B6498BCDF3}"/>
            </c:ext>
          </c:extLst>
        </c:ser>
        <c:ser>
          <c:idx val="6"/>
          <c:order val="6"/>
          <c:tx>
            <c:strRef>
              <c:f>'COUT Network Design'!$AH$9</c:f>
              <c:strCache>
                <c:ptCount val="1"/>
                <c:pt idx="0">
                  <c:v>fSTEP</c:v>
                </c:pt>
              </c:strCache>
            </c:strRef>
          </c:tx>
          <c:spPr>
            <a:ln w="25400" cap="rnd">
              <a:solidFill>
                <a:srgbClr val="00B0F0"/>
              </a:solidFill>
              <a:prstDash val="sysDash"/>
              <a:round/>
            </a:ln>
            <a:effectLst/>
          </c:spPr>
          <c:marker>
            <c:symbol val="none"/>
          </c:marker>
          <c:errBars>
            <c:errDir val="x"/>
            <c:errBarType val="both"/>
            <c:errValType val="percentage"/>
            <c:noEndCap val="0"/>
            <c:val val="5"/>
            <c:spPr>
              <a:noFill/>
              <a:ln w="9525" cap="flat" cmpd="sng" algn="ctr">
                <a:solidFill>
                  <a:schemeClr val="tx1">
                    <a:lumMod val="65000"/>
                    <a:lumOff val="35000"/>
                  </a:schemeClr>
                </a:solidFill>
                <a:round/>
              </a:ln>
              <a:effectLst/>
            </c:spPr>
          </c:errBars>
          <c:errBars>
            <c:errDir val="y"/>
            <c:errBarType val="both"/>
            <c:errValType val="fixedVal"/>
            <c:noEndCap val="0"/>
            <c:val val="100"/>
            <c:spPr>
              <a:noFill/>
              <a:ln w="25400" cap="flat" cmpd="sng" algn="ctr">
                <a:solidFill>
                  <a:srgbClr val="00B0F0"/>
                </a:solidFill>
                <a:prstDash val="sysDash"/>
                <a:round/>
              </a:ln>
              <a:effectLst/>
            </c:spPr>
          </c:errBars>
          <c:xVal>
            <c:numRef>
              <c:f>'COUT Network Design'!$AH$10</c:f>
              <c:numCache>
                <c:formatCode>0.00</c:formatCode>
                <c:ptCount val="1"/>
                <c:pt idx="0">
                  <c:v>3499999.9999999995</c:v>
                </c:pt>
              </c:numCache>
            </c:numRef>
          </c:xVal>
          <c:yVal>
            <c:numRef>
              <c:f>'COUT Network Design'!$AI$10</c:f>
              <c:numCache>
                <c:formatCode>0.00000</c:formatCode>
                <c:ptCount val="1"/>
                <c:pt idx="0">
                  <c:v>1.0000000000000001E-5</c:v>
                </c:pt>
              </c:numCache>
            </c:numRef>
          </c:yVal>
          <c:smooth val="1"/>
          <c:extLst>
            <c:ext xmlns:c16="http://schemas.microsoft.com/office/drawing/2014/chart" uri="{C3380CC4-5D6E-409C-BE32-E72D297353CC}">
              <c16:uniqueId val="{00000000-CF84-45A7-8AF6-94BF689DF950}"/>
            </c:ext>
          </c:extLst>
        </c:ser>
        <c:dLbls>
          <c:showLegendKey val="0"/>
          <c:showVal val="0"/>
          <c:showCatName val="0"/>
          <c:showSerName val="0"/>
          <c:showPercent val="0"/>
          <c:showBubbleSize val="0"/>
        </c:dLbls>
        <c:axId val="408105248"/>
        <c:axId val="408106688"/>
      </c:scatterChart>
      <c:valAx>
        <c:axId val="408105248"/>
        <c:scaling>
          <c:logBase val="10"/>
          <c:orientation val="minMax"/>
          <c:min val="100"/>
        </c:scaling>
        <c:delete val="0"/>
        <c:axPos val="b"/>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Frequency (Hz)</a:t>
                </a:r>
              </a:p>
            </c:rich>
          </c:tx>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6688"/>
        <c:crossesAt val="1.0000000000000004E-6"/>
        <c:crossBetween val="midCat"/>
      </c:valAx>
      <c:valAx>
        <c:axId val="408106688"/>
        <c:scaling>
          <c:logBase val="10"/>
          <c:orientation val="minMax"/>
          <c:max val="100"/>
          <c:min val="1.0000000000000002E-3"/>
        </c:scaling>
        <c:delete val="0"/>
        <c:axPos val="l"/>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Impedance (</a:t>
                </a:r>
                <a:r>
                  <a:rPr lang="el-GR"/>
                  <a:t>Ω)</a:t>
                </a: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5248"/>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3699085570153696"/>
          <c:y val="0.11446673256130571"/>
          <c:w val="0.20294529333184308"/>
          <c:h val="0.30899452177978526"/>
        </c:manualLayout>
      </c:layout>
      <c:overlay val="1"/>
      <c:spPr>
        <a:solidFill>
          <a:srgbClr val="FFFFFF"/>
        </a:solidFill>
        <a:ln w="3175">
          <a:noFill/>
          <a:prstDash val="solid"/>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r>
              <a:rPr lang="en-US"/>
              <a:t>Input Capacitor Impedance vs Frequency</a:t>
            </a:r>
          </a:p>
        </c:rich>
      </c:tx>
      <c:overlay val="0"/>
      <c:spPr>
        <a:noFill/>
        <a:ln>
          <a:noFill/>
        </a:ln>
        <a:effectLst/>
      </c:spPr>
      <c:txPr>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endParaRPr lang="en-US"/>
        </a:p>
      </c:txPr>
    </c:title>
    <c:autoTitleDeleted val="0"/>
    <c:plotArea>
      <c:layout/>
      <c:scatterChart>
        <c:scatterStyle val="smoothMarker"/>
        <c:varyColors val="0"/>
        <c:ser>
          <c:idx val="0"/>
          <c:order val="0"/>
          <c:tx>
            <c:strRef>
              <c:f>'CIN Network Design'!$S$5</c:f>
              <c:strCache>
                <c:ptCount val="1"/>
                <c:pt idx="0">
                  <c:v>ZTOTAL (Ω)</c:v>
                </c:pt>
              </c:strCache>
            </c:strRef>
          </c:tx>
          <c:spPr>
            <a:ln w="25400" cap="rnd">
              <a:solidFill>
                <a:schemeClr val="accent1"/>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Design'!$S$6:$S$87</c:f>
              <c:numCache>
                <c:formatCode>General</c:formatCode>
                <c:ptCount val="82"/>
                <c:pt idx="0">
                  <c:v>3617.1577975411724</c:v>
                </c:pt>
                <c:pt idx="1">
                  <c:v>1808.5788987677304</c:v>
                </c:pt>
                <c:pt idx="2">
                  <c:v>1205.7192658419806</c:v>
                </c:pt>
                <c:pt idx="3">
                  <c:v>904.28944937815368</c:v>
                </c:pt>
                <c:pt idx="4">
                  <c:v>723.43155949909601</c:v>
                </c:pt>
                <c:pt idx="5">
                  <c:v>602.85963291242308</c:v>
                </c:pt>
                <c:pt idx="6">
                  <c:v>516.73682820711269</c:v>
                </c:pt>
                <c:pt idx="7">
                  <c:v>452.14472467765404</c:v>
                </c:pt>
                <c:pt idx="8">
                  <c:v>401.90642193209641</c:v>
                </c:pt>
                <c:pt idx="9">
                  <c:v>361.71577973526945</c:v>
                </c:pt>
                <c:pt idx="10">
                  <c:v>180.85788983907767</c:v>
                </c:pt>
                <c:pt idx="11">
                  <c:v>120.57192652765505</c:v>
                </c:pt>
                <c:pt idx="12">
                  <c:v>90.428944862424686</c:v>
                </c:pt>
                <c:pt idx="13">
                  <c:v>72.343155855671256</c:v>
                </c:pt>
                <c:pt idx="14">
                  <c:v>60.285963178156294</c:v>
                </c:pt>
                <c:pt idx="15">
                  <c:v>51.673682688777582</c:v>
                </c:pt>
                <c:pt idx="16">
                  <c:v>45.214472316984029</c:v>
                </c:pt>
                <c:pt idx="17">
                  <c:v>40.190642023580601</c:v>
                </c:pt>
                <c:pt idx="18">
                  <c:v>36.171577785050239</c:v>
                </c:pt>
                <c:pt idx="19">
                  <c:v>18.085788606954353</c:v>
                </c:pt>
                <c:pt idx="20">
                  <c:v>12.05719208733538</c:v>
                </c:pt>
                <c:pt idx="21">
                  <c:v>9.0428937323356351</c:v>
                </c:pt>
                <c:pt idx="22">
                  <c:v>7.2343146431835894</c:v>
                </c:pt>
                <c:pt idx="23">
                  <c:v>6.0285951869553882</c:v>
                </c:pt>
                <c:pt idx="24">
                  <c:v>5.1673669495408179</c:v>
                </c:pt>
                <c:pt idx="25">
                  <c:v>4.5214457238847645</c:v>
                </c:pt>
                <c:pt idx="26">
                  <c:v>4.0190625060677281</c:v>
                </c:pt>
                <c:pt idx="27">
                  <c:v>3.6171558937380044</c:v>
                </c:pt>
                <c:pt idx="28">
                  <c:v>1.8085750911618457</c:v>
                </c:pt>
                <c:pt idx="29">
                  <c:v>1.2057135544342832</c:v>
                </c:pt>
                <c:pt idx="30">
                  <c:v>0.9042818341700023</c:v>
                </c:pt>
                <c:pt idx="31">
                  <c:v>0.72342204049229952</c:v>
                </c:pt>
                <c:pt idx="32">
                  <c:v>0.60284821010924317</c:v>
                </c:pt>
                <c:pt idx="33">
                  <c:v>0.51672350161026426</c:v>
                </c:pt>
                <c:pt idx="34">
                  <c:v>0.45212949429030375</c:v>
                </c:pt>
                <c:pt idx="35">
                  <c:v>0.40188928775786348</c:v>
                </c:pt>
                <c:pt idx="36">
                  <c:v>0.36169674177822619</c:v>
                </c:pt>
                <c:pt idx="37">
                  <c:v>0.18081981437748218</c:v>
                </c:pt>
                <c:pt idx="38">
                  <c:v>0.12051481446696637</c:v>
                </c:pt>
                <c:pt idx="39">
                  <c:v>9.0352797562023607E-2</c:v>
                </c:pt>
                <c:pt idx="40">
                  <c:v>7.2247975130294073E-2</c:v>
                </c:pt>
                <c:pt idx="41">
                  <c:v>6.017175129981104E-2</c:v>
                </c:pt>
                <c:pt idx="42">
                  <c:v>5.1540442389147033E-2</c:v>
                </c:pt>
                <c:pt idx="43">
                  <c:v>4.5062206790320608E-2</c:v>
                </c:pt>
                <c:pt idx="44">
                  <c:v>4.0019354930099317E-2</c:v>
                </c:pt>
                <c:pt idx="45">
                  <c:v>3.5981273254827091E-2</c:v>
                </c:pt>
                <c:pt idx="46">
                  <c:v>1.7705644081755911E-2</c:v>
                </c:pt>
                <c:pt idx="47">
                  <c:v>1.1488187813500174E-2</c:v>
                </c:pt>
                <c:pt idx="48">
                  <c:v>8.2866397780902781E-3</c:v>
                </c:pt>
                <c:pt idx="49">
                  <c:v>6.2932560587858257E-3</c:v>
                </c:pt>
                <c:pt idx="50">
                  <c:v>4.906364566314437E-3</c:v>
                </c:pt>
                <c:pt idx="51">
                  <c:v>3.8693956301133446E-3</c:v>
                </c:pt>
                <c:pt idx="52">
                  <c:v>3.0560593849085658E-3</c:v>
                </c:pt>
                <c:pt idx="53">
                  <c:v>2.3995364747881704E-3</c:v>
                </c:pt>
                <c:pt idx="54">
                  <c:v>1.8657467992896724E-3</c:v>
                </c:pt>
                <c:pt idx="55">
                  <c:v>2.4855304862735866E-3</c:v>
                </c:pt>
                <c:pt idx="56">
                  <c:v>5.0209762407774161E-3</c:v>
                </c:pt>
                <c:pt idx="57">
                  <c:v>7.3323623674029642E-3</c:v>
                </c:pt>
                <c:pt idx="58">
                  <c:v>9.5393040854703948E-3</c:v>
                </c:pt>
                <c:pt idx="59">
                  <c:v>1.169219378067482E-2</c:v>
                </c:pt>
                <c:pt idx="60">
                  <c:v>1.381375310299357E-2</c:v>
                </c:pt>
                <c:pt idx="61">
                  <c:v>1.5915583890790706E-2</c:v>
                </c:pt>
                <c:pt idx="62">
                  <c:v>1.8004203345762273E-2</c:v>
                </c:pt>
                <c:pt idx="63">
                  <c:v>2.0083547918100065E-2</c:v>
                </c:pt>
                <c:pt idx="64">
                  <c:v>4.0672141892058075E-2</c:v>
                </c:pt>
                <c:pt idx="65">
                  <c:v>6.1148662158962912E-2</c:v>
                </c:pt>
                <c:pt idx="66">
                  <c:v>8.1597107946653133E-2</c:v>
                </c:pt>
                <c:pt idx="67">
                  <c:v>0.10203431851543929</c:v>
                </c:pt>
                <c:pt idx="68">
                  <c:v>0.12246591036358467</c:v>
                </c:pt>
                <c:pt idx="69">
                  <c:v>0.14289429118845867</c:v>
                </c:pt>
                <c:pt idx="70">
                  <c:v>0.16332066500483466</c:v>
                </c:pt>
                <c:pt idx="71">
                  <c:v>0.18374570076506022</c:v>
                </c:pt>
                <c:pt idx="72">
                  <c:v>0.2041697998620581</c:v>
                </c:pt>
                <c:pt idx="73">
                  <c:v>0.4083901834988608</c:v>
                </c:pt>
                <c:pt idx="74">
                  <c:v>0.61259932645206683</c:v>
                </c:pt>
                <c:pt idx="75">
                  <c:v>0.81680565917979642</c:v>
                </c:pt>
                <c:pt idx="76">
                  <c:v>1.0210108678119574</c:v>
                </c:pt>
                <c:pt idx="77">
                  <c:v>1.2252155143952277</c:v>
                </c:pt>
                <c:pt idx="78">
                  <c:v>1.4294198398073792</c:v>
                </c:pt>
                <c:pt idx="79">
                  <c:v>1.6336239644874624</c:v>
                </c:pt>
                <c:pt idx="80">
                  <c:v>1.8378279553461165</c:v>
                </c:pt>
                <c:pt idx="81">
                  <c:v>2.0420318525297456</c:v>
                </c:pt>
              </c:numCache>
            </c:numRef>
          </c:yVal>
          <c:smooth val="1"/>
          <c:extLst>
            <c:ext xmlns:c16="http://schemas.microsoft.com/office/drawing/2014/chart" uri="{C3380CC4-5D6E-409C-BE32-E72D297353CC}">
              <c16:uniqueId val="{00000000-7E20-4E64-B940-6B62B461F591}"/>
            </c:ext>
          </c:extLst>
        </c:ser>
        <c:ser>
          <c:idx val="1"/>
          <c:order val="1"/>
          <c:tx>
            <c:strRef>
              <c:f>'CIN Network Design'!$Y$5</c:f>
              <c:strCache>
                <c:ptCount val="1"/>
                <c:pt idx="0">
                  <c:v>Z(BULK) (Ω)</c:v>
                </c:pt>
              </c:strCache>
            </c:strRef>
          </c:tx>
          <c:spPr>
            <a:ln w="25400" cap="rnd">
              <a:solidFill>
                <a:schemeClr val="accent2"/>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Design'!$Y$6:$Y$87</c:f>
              <c:numCache>
                <c:formatCode>0.000000</c:formatCode>
                <c:ptCount val="82"/>
                <c:pt idx="0">
                  <c:v>3617.1577975411724</c:v>
                </c:pt>
                <c:pt idx="1">
                  <c:v>1808.5788987677304</c:v>
                </c:pt>
                <c:pt idx="2">
                  <c:v>1205.7192658419806</c:v>
                </c:pt>
                <c:pt idx="3">
                  <c:v>904.28944937815379</c:v>
                </c:pt>
                <c:pt idx="4">
                  <c:v>723.43155949909601</c:v>
                </c:pt>
                <c:pt idx="5">
                  <c:v>602.85963291242308</c:v>
                </c:pt>
                <c:pt idx="6">
                  <c:v>516.73682820711269</c:v>
                </c:pt>
                <c:pt idx="7">
                  <c:v>452.14472467765404</c:v>
                </c:pt>
                <c:pt idx="8">
                  <c:v>401.90642193209641</c:v>
                </c:pt>
                <c:pt idx="9">
                  <c:v>361.71577973526945</c:v>
                </c:pt>
                <c:pt idx="10">
                  <c:v>180.85788983907767</c:v>
                </c:pt>
                <c:pt idx="11">
                  <c:v>120.57192652765505</c:v>
                </c:pt>
                <c:pt idx="12">
                  <c:v>90.428944862424686</c:v>
                </c:pt>
                <c:pt idx="13">
                  <c:v>72.343155855671256</c:v>
                </c:pt>
                <c:pt idx="14">
                  <c:v>60.285963178156294</c:v>
                </c:pt>
                <c:pt idx="15">
                  <c:v>51.673682688777582</c:v>
                </c:pt>
                <c:pt idx="16">
                  <c:v>45.214472316984029</c:v>
                </c:pt>
                <c:pt idx="17">
                  <c:v>40.190642023580601</c:v>
                </c:pt>
                <c:pt idx="18">
                  <c:v>36.171577785050239</c:v>
                </c:pt>
                <c:pt idx="19">
                  <c:v>18.085788606954353</c:v>
                </c:pt>
                <c:pt idx="20">
                  <c:v>12.05719208733538</c:v>
                </c:pt>
                <c:pt idx="21">
                  <c:v>9.0428937323356351</c:v>
                </c:pt>
                <c:pt idx="22">
                  <c:v>7.2343146431835885</c:v>
                </c:pt>
                <c:pt idx="23">
                  <c:v>6.0285951869553882</c:v>
                </c:pt>
                <c:pt idx="24">
                  <c:v>5.1673669495408179</c:v>
                </c:pt>
                <c:pt idx="25">
                  <c:v>4.5214457238847645</c:v>
                </c:pt>
                <c:pt idx="26">
                  <c:v>4.0190625060677281</c:v>
                </c:pt>
                <c:pt idx="27">
                  <c:v>3.6171558937380039</c:v>
                </c:pt>
                <c:pt idx="28">
                  <c:v>1.8085750911618454</c:v>
                </c:pt>
                <c:pt idx="29">
                  <c:v>1.2057135544342832</c:v>
                </c:pt>
                <c:pt idx="30">
                  <c:v>0.9042818341700023</c:v>
                </c:pt>
                <c:pt idx="31">
                  <c:v>0.72342204049229952</c:v>
                </c:pt>
                <c:pt idx="32">
                  <c:v>0.60284821010924317</c:v>
                </c:pt>
                <c:pt idx="33">
                  <c:v>0.51672350161026426</c:v>
                </c:pt>
                <c:pt idx="34">
                  <c:v>0.45212949429030375</c:v>
                </c:pt>
                <c:pt idx="35">
                  <c:v>0.40188928775786348</c:v>
                </c:pt>
                <c:pt idx="36">
                  <c:v>0.36169674177822619</c:v>
                </c:pt>
                <c:pt idx="37">
                  <c:v>0.18081981437748218</c:v>
                </c:pt>
                <c:pt idx="38">
                  <c:v>0.12051481446696635</c:v>
                </c:pt>
                <c:pt idx="39">
                  <c:v>9.0352797562023607E-2</c:v>
                </c:pt>
                <c:pt idx="40">
                  <c:v>7.2247975130294073E-2</c:v>
                </c:pt>
                <c:pt idx="41">
                  <c:v>6.017175129981104E-2</c:v>
                </c:pt>
                <c:pt idx="42">
                  <c:v>5.1540442389147033E-2</c:v>
                </c:pt>
                <c:pt idx="43">
                  <c:v>4.5062206790320608E-2</c:v>
                </c:pt>
                <c:pt idx="44">
                  <c:v>4.0019354930099317E-2</c:v>
                </c:pt>
                <c:pt idx="45">
                  <c:v>3.5981273254827091E-2</c:v>
                </c:pt>
                <c:pt idx="46">
                  <c:v>1.7705644081755911E-2</c:v>
                </c:pt>
                <c:pt idx="47">
                  <c:v>1.1488187813500174E-2</c:v>
                </c:pt>
                <c:pt idx="48">
                  <c:v>8.2866397780902781E-3</c:v>
                </c:pt>
                <c:pt idx="49">
                  <c:v>6.2932560587858257E-3</c:v>
                </c:pt>
                <c:pt idx="50">
                  <c:v>4.906364566314437E-3</c:v>
                </c:pt>
                <c:pt idx="51">
                  <c:v>3.869395630113345E-3</c:v>
                </c:pt>
                <c:pt idx="52">
                  <c:v>3.0560593849085658E-3</c:v>
                </c:pt>
                <c:pt idx="53">
                  <c:v>2.3995364747881704E-3</c:v>
                </c:pt>
                <c:pt idx="54">
                  <c:v>1.8657467992896726E-3</c:v>
                </c:pt>
                <c:pt idx="55">
                  <c:v>2.4855304862735866E-3</c:v>
                </c:pt>
                <c:pt idx="56">
                  <c:v>5.0209762407774161E-3</c:v>
                </c:pt>
                <c:pt idx="57">
                  <c:v>7.3323623674029651E-3</c:v>
                </c:pt>
                <c:pt idx="58">
                  <c:v>9.5393040854703948E-3</c:v>
                </c:pt>
                <c:pt idx="59">
                  <c:v>1.169219378067482E-2</c:v>
                </c:pt>
                <c:pt idx="60">
                  <c:v>1.3813753102993572E-2</c:v>
                </c:pt>
                <c:pt idx="61">
                  <c:v>1.5915583890790706E-2</c:v>
                </c:pt>
                <c:pt idx="62">
                  <c:v>1.8004203345762273E-2</c:v>
                </c:pt>
                <c:pt idx="63">
                  <c:v>2.0083547918100065E-2</c:v>
                </c:pt>
                <c:pt idx="64">
                  <c:v>4.0672141892058075E-2</c:v>
                </c:pt>
                <c:pt idx="65">
                  <c:v>6.1148662158962905E-2</c:v>
                </c:pt>
                <c:pt idx="66">
                  <c:v>8.1597107946653133E-2</c:v>
                </c:pt>
                <c:pt idx="67">
                  <c:v>0.10203431851543929</c:v>
                </c:pt>
                <c:pt idx="68">
                  <c:v>0.12246591036358467</c:v>
                </c:pt>
                <c:pt idx="69">
                  <c:v>0.14289429118845867</c:v>
                </c:pt>
                <c:pt idx="70">
                  <c:v>0.16332066500483466</c:v>
                </c:pt>
                <c:pt idx="71">
                  <c:v>0.18374570076506022</c:v>
                </c:pt>
                <c:pt idx="72">
                  <c:v>0.2041697998620581</c:v>
                </c:pt>
                <c:pt idx="73">
                  <c:v>0.40839018349886075</c:v>
                </c:pt>
                <c:pt idx="74">
                  <c:v>0.61259932645206683</c:v>
                </c:pt>
                <c:pt idx="75">
                  <c:v>0.81680565917979642</c:v>
                </c:pt>
                <c:pt idx="76">
                  <c:v>1.0210108678119574</c:v>
                </c:pt>
                <c:pt idx="77">
                  <c:v>1.2252155143952277</c:v>
                </c:pt>
                <c:pt idx="78">
                  <c:v>1.4294198398073792</c:v>
                </c:pt>
                <c:pt idx="79">
                  <c:v>1.6336239644874622</c:v>
                </c:pt>
                <c:pt idx="80">
                  <c:v>1.8378279553461163</c:v>
                </c:pt>
                <c:pt idx="81">
                  <c:v>2.0420318525297456</c:v>
                </c:pt>
              </c:numCache>
            </c:numRef>
          </c:yVal>
          <c:smooth val="1"/>
          <c:extLst>
            <c:ext xmlns:c16="http://schemas.microsoft.com/office/drawing/2014/chart" uri="{C3380CC4-5D6E-409C-BE32-E72D297353CC}">
              <c16:uniqueId val="{00000005-7E20-4E64-B940-6B62B461F591}"/>
            </c:ext>
          </c:extLst>
        </c:ser>
        <c:ser>
          <c:idx val="2"/>
          <c:order val="2"/>
          <c:tx>
            <c:strRef>
              <c:f>'CIN Network Design'!$AD$5</c:f>
              <c:strCache>
                <c:ptCount val="1"/>
                <c:pt idx="0">
                  <c:v>Z1 (Ω)</c:v>
                </c:pt>
              </c:strCache>
            </c:strRef>
          </c:tx>
          <c:spPr>
            <a:ln w="25400" cap="rnd">
              <a:solidFill>
                <a:schemeClr val="accent3"/>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Design'!$AD$6:$AD$87</c:f>
              <c:numCache>
                <c:formatCode>0.000000</c:formatCode>
                <c:ptCount val="8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numCache>
            </c:numRef>
          </c:yVal>
          <c:smooth val="1"/>
          <c:extLst>
            <c:ext xmlns:c16="http://schemas.microsoft.com/office/drawing/2014/chart" uri="{C3380CC4-5D6E-409C-BE32-E72D297353CC}">
              <c16:uniqueId val="{00000006-7E20-4E64-B940-6B62B461F591}"/>
            </c:ext>
          </c:extLst>
        </c:ser>
        <c:ser>
          <c:idx val="6"/>
          <c:order val="3"/>
          <c:tx>
            <c:strRef>
              <c:f>'CIN Network Design'!$AI$5</c:f>
              <c:strCache>
                <c:ptCount val="1"/>
                <c:pt idx="0">
                  <c:v>Z2 (Ω)</c:v>
                </c:pt>
              </c:strCache>
            </c:strRef>
          </c:tx>
          <c:spPr>
            <a:ln w="19050" cap="rnd">
              <a:solidFill>
                <a:schemeClr val="accent1">
                  <a:lumMod val="60000"/>
                </a:schemeClr>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Design'!$AI$6:$AI$87</c:f>
              <c:numCache>
                <c:formatCode>0.000000</c:formatCode>
                <c:ptCount val="8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numCache>
            </c:numRef>
          </c:yVal>
          <c:smooth val="1"/>
          <c:extLst>
            <c:ext xmlns:c16="http://schemas.microsoft.com/office/drawing/2014/chart" uri="{C3380CC4-5D6E-409C-BE32-E72D297353CC}">
              <c16:uniqueId val="{00000001-C6C3-4A70-87D8-00C650638309}"/>
            </c:ext>
          </c:extLst>
        </c:ser>
        <c:ser>
          <c:idx val="3"/>
          <c:order val="4"/>
          <c:tx>
            <c:strRef>
              <c:f>'CIN Network Design'!$AK$5</c:f>
              <c:strCache>
                <c:ptCount val="1"/>
                <c:pt idx="0">
                  <c:v>fSW</c:v>
                </c:pt>
              </c:strCache>
            </c:strRef>
          </c:tx>
          <c:spPr>
            <a:ln w="25400" cap="rnd">
              <a:solidFill>
                <a:srgbClr val="00B050"/>
              </a:solidFill>
              <a:prstDash val="sysDash"/>
              <a:round/>
            </a:ln>
            <a:effectLst/>
          </c:spPr>
          <c:marker>
            <c:symbol val="none"/>
          </c:marker>
          <c:errBars>
            <c:errDir val="x"/>
            <c:errBarType val="both"/>
            <c:errValType val="percentage"/>
            <c:noEndCap val="0"/>
            <c:val val="5"/>
            <c:spPr>
              <a:noFill/>
              <a:ln w="9525" cap="flat" cmpd="sng" algn="ctr">
                <a:solidFill>
                  <a:schemeClr val="tx1">
                    <a:lumMod val="65000"/>
                    <a:lumOff val="35000"/>
                  </a:schemeClr>
                </a:solidFill>
                <a:round/>
              </a:ln>
              <a:effectLst/>
            </c:spPr>
          </c:errBars>
          <c:errBars>
            <c:errDir val="y"/>
            <c:errBarType val="both"/>
            <c:errValType val="fixedVal"/>
            <c:noEndCap val="0"/>
            <c:val val="100"/>
            <c:spPr>
              <a:noFill/>
              <a:ln w="25400" cap="flat" cmpd="sng" algn="ctr">
                <a:solidFill>
                  <a:srgbClr val="00B050"/>
                </a:solidFill>
                <a:prstDash val="sysDash"/>
                <a:round/>
              </a:ln>
              <a:effectLst/>
            </c:spPr>
          </c:errBars>
          <c:xVal>
            <c:numRef>
              <c:f>'CIN Network Design'!$AK$6</c:f>
              <c:numCache>
                <c:formatCode>General</c:formatCode>
                <c:ptCount val="1"/>
                <c:pt idx="0">
                  <c:v>500000</c:v>
                </c:pt>
              </c:numCache>
            </c:numRef>
          </c:xVal>
          <c:yVal>
            <c:numRef>
              <c:f>'CIN Network Design'!$AL$6</c:f>
              <c:numCache>
                <c:formatCode>General</c:formatCode>
                <c:ptCount val="1"/>
                <c:pt idx="0">
                  <c:v>1.0000000000000001E-5</c:v>
                </c:pt>
              </c:numCache>
            </c:numRef>
          </c:yVal>
          <c:smooth val="1"/>
          <c:extLst>
            <c:ext xmlns:c16="http://schemas.microsoft.com/office/drawing/2014/chart" uri="{C3380CC4-5D6E-409C-BE32-E72D297353CC}">
              <c16:uniqueId val="{00000007-7E20-4E64-B940-6B62B461F591}"/>
            </c:ext>
          </c:extLst>
        </c:ser>
        <c:ser>
          <c:idx val="4"/>
          <c:order val="5"/>
          <c:tx>
            <c:strRef>
              <c:f>'CIN Network Design'!$T$5</c:f>
              <c:strCache>
                <c:ptCount val="1"/>
                <c:pt idx="0">
                  <c:v>Z(TARGET)</c:v>
                </c:pt>
              </c:strCache>
            </c:strRef>
          </c:tx>
          <c:spPr>
            <a:ln w="31750" cap="rnd">
              <a:solidFill>
                <a:schemeClr val="tx1"/>
              </a:solidFill>
              <a:prstDash val="dash"/>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Design'!$T$6:$T$87</c:f>
              <c:numCache>
                <c:formatCode>General</c:formatCode>
                <c:ptCount val="82"/>
                <c:pt idx="0">
                  <c:v>5.5624585477376753E-2</c:v>
                </c:pt>
                <c:pt idx="1">
                  <c:v>5.5624585477376753E-2</c:v>
                </c:pt>
                <c:pt idx="2">
                  <c:v>5.5624585477376753E-2</c:v>
                </c:pt>
                <c:pt idx="3">
                  <c:v>5.5624585477376753E-2</c:v>
                </c:pt>
                <c:pt idx="4">
                  <c:v>5.5624585477376753E-2</c:v>
                </c:pt>
                <c:pt idx="5">
                  <c:v>5.5624585477376753E-2</c:v>
                </c:pt>
                <c:pt idx="6">
                  <c:v>5.5624585477376753E-2</c:v>
                </c:pt>
                <c:pt idx="7">
                  <c:v>5.5624585477376753E-2</c:v>
                </c:pt>
                <c:pt idx="8">
                  <c:v>5.5624585477376753E-2</c:v>
                </c:pt>
                <c:pt idx="9">
                  <c:v>5.5624585477376753E-2</c:v>
                </c:pt>
                <c:pt idx="10">
                  <c:v>5.5624585477376753E-2</c:v>
                </c:pt>
                <c:pt idx="11">
                  <c:v>5.5624585477376753E-2</c:v>
                </c:pt>
                <c:pt idx="12">
                  <c:v>5.5624585477376753E-2</c:v>
                </c:pt>
                <c:pt idx="13">
                  <c:v>5.5624585477376753E-2</c:v>
                </c:pt>
                <c:pt idx="14">
                  <c:v>5.5624585477376753E-2</c:v>
                </c:pt>
                <c:pt idx="15">
                  <c:v>5.5624585477376753E-2</c:v>
                </c:pt>
                <c:pt idx="16">
                  <c:v>5.5624585477376753E-2</c:v>
                </c:pt>
                <c:pt idx="17">
                  <c:v>5.5624585477376753E-2</c:v>
                </c:pt>
                <c:pt idx="18">
                  <c:v>5.5624585477376753E-2</c:v>
                </c:pt>
                <c:pt idx="19">
                  <c:v>5.5624585477376753E-2</c:v>
                </c:pt>
                <c:pt idx="20">
                  <c:v>5.5624585477376753E-2</c:v>
                </c:pt>
                <c:pt idx="21">
                  <c:v>5.5624585477376753E-2</c:v>
                </c:pt>
                <c:pt idx="22">
                  <c:v>5.5624585477376753E-2</c:v>
                </c:pt>
                <c:pt idx="23">
                  <c:v>5.5624585477376753E-2</c:v>
                </c:pt>
                <c:pt idx="24">
                  <c:v>5.5624585477376753E-2</c:v>
                </c:pt>
                <c:pt idx="25">
                  <c:v>5.5624585477376753E-2</c:v>
                </c:pt>
                <c:pt idx="26">
                  <c:v>5.5624585477376753E-2</c:v>
                </c:pt>
                <c:pt idx="27">
                  <c:v>5.5624585477376753E-2</c:v>
                </c:pt>
                <c:pt idx="28">
                  <c:v>5.5624585477376753E-2</c:v>
                </c:pt>
                <c:pt idx="29">
                  <c:v>5.5624585477376753E-2</c:v>
                </c:pt>
                <c:pt idx="30">
                  <c:v>5.5624585477376753E-2</c:v>
                </c:pt>
                <c:pt idx="31">
                  <c:v>5.5624585477376753E-2</c:v>
                </c:pt>
                <c:pt idx="32">
                  <c:v>5.5624585477376753E-2</c:v>
                </c:pt>
                <c:pt idx="33">
                  <c:v>5.5624585477376753E-2</c:v>
                </c:pt>
                <c:pt idx="34">
                  <c:v>5.5624585477376753E-2</c:v>
                </c:pt>
                <c:pt idx="35">
                  <c:v>5.5624585477376753E-2</c:v>
                </c:pt>
                <c:pt idx="36">
                  <c:v>5.5624585477376753E-2</c:v>
                </c:pt>
                <c:pt idx="37">
                  <c:v>5.5624585477376753E-2</c:v>
                </c:pt>
                <c:pt idx="38">
                  <c:v>5.5624585477376753E-2</c:v>
                </c:pt>
                <c:pt idx="39">
                  <c:v>5.5624585477376753E-2</c:v>
                </c:pt>
                <c:pt idx="40">
                  <c:v>5.5624585477376753E-2</c:v>
                </c:pt>
                <c:pt idx="41">
                  <c:v>5.5624585477376753E-2</c:v>
                </c:pt>
                <c:pt idx="42">
                  <c:v>5.5624585477376753E-2</c:v>
                </c:pt>
                <c:pt idx="43">
                  <c:v>5.5624585477376753E-2</c:v>
                </c:pt>
                <c:pt idx="44">
                  <c:v>5.5624585477376753E-2</c:v>
                </c:pt>
                <c:pt idx="45">
                  <c:v>5.5624585477376753E-2</c:v>
                </c:pt>
                <c:pt idx="46">
                  <c:v>5.5624585477376753E-2</c:v>
                </c:pt>
                <c:pt idx="47">
                  <c:v>5.5624585477376753E-2</c:v>
                </c:pt>
                <c:pt idx="48">
                  <c:v>5.5624585477376753E-2</c:v>
                </c:pt>
                <c:pt idx="49">
                  <c:v>5.5624585477376753E-2</c:v>
                </c:pt>
                <c:pt idx="50">
                  <c:v>5.5624585477376753E-2</c:v>
                </c:pt>
                <c:pt idx="51">
                  <c:v>5.5624585477376753E-2</c:v>
                </c:pt>
                <c:pt idx="52">
                  <c:v>5.5624585477376753E-2</c:v>
                </c:pt>
                <c:pt idx="53">
                  <c:v>5.5624585477376753E-2</c:v>
                </c:pt>
                <c:pt idx="54">
                  <c:v>5.5624585477376753E-2</c:v>
                </c:pt>
                <c:pt idx="55">
                  <c:v>5.5624585477376753E-2</c:v>
                </c:pt>
                <c:pt idx="56">
                  <c:v>5.5624585477376753E-2</c:v>
                </c:pt>
                <c:pt idx="57">
                  <c:v>5.5624585477376753E-2</c:v>
                </c:pt>
                <c:pt idx="58">
                  <c:v>5.5624585477376753E-2</c:v>
                </c:pt>
                <c:pt idx="59">
                  <c:v>5.5624585477376753E-2</c:v>
                </c:pt>
                <c:pt idx="60">
                  <c:v>5.5624585477376753E-2</c:v>
                </c:pt>
                <c:pt idx="61">
                  <c:v>5.5624585477376753E-2</c:v>
                </c:pt>
                <c:pt idx="62">
                  <c:v>5.5624585477376753E-2</c:v>
                </c:pt>
                <c:pt idx="63">
                  <c:v>5.5624585477376753E-2</c:v>
                </c:pt>
                <c:pt idx="64">
                  <c:v>5.5624585477376753E-2</c:v>
                </c:pt>
                <c:pt idx="65">
                  <c:v>5.5624585477376753E-2</c:v>
                </c:pt>
                <c:pt idx="66">
                  <c:v>5.5624585477376753E-2</c:v>
                </c:pt>
                <c:pt idx="67">
                  <c:v>5.5624585477376753E-2</c:v>
                </c:pt>
                <c:pt idx="68">
                  <c:v>5.5624585477376753E-2</c:v>
                </c:pt>
                <c:pt idx="69">
                  <c:v>5.5624585477376753E-2</c:v>
                </c:pt>
                <c:pt idx="70">
                  <c:v>5.5624585477376753E-2</c:v>
                </c:pt>
                <c:pt idx="71">
                  <c:v>5.5624585477376753E-2</c:v>
                </c:pt>
                <c:pt idx="72">
                  <c:v>5.5624585477376753E-2</c:v>
                </c:pt>
                <c:pt idx="73">
                  <c:v>5.5624585477376753E-2</c:v>
                </c:pt>
                <c:pt idx="74">
                  <c:v>5.5624585477376753E-2</c:v>
                </c:pt>
                <c:pt idx="75">
                  <c:v>5.5624585477376753E-2</c:v>
                </c:pt>
                <c:pt idx="76">
                  <c:v>5.5624585477376753E-2</c:v>
                </c:pt>
                <c:pt idx="77">
                  <c:v>5.5624585477376753E-2</c:v>
                </c:pt>
                <c:pt idx="78">
                  <c:v>5.5624585477376753E-2</c:v>
                </c:pt>
                <c:pt idx="79">
                  <c:v>5.5624585477376753E-2</c:v>
                </c:pt>
                <c:pt idx="80">
                  <c:v>5.5624585477376753E-2</c:v>
                </c:pt>
                <c:pt idx="81">
                  <c:v>5.5624585477376753E-2</c:v>
                </c:pt>
              </c:numCache>
            </c:numRef>
          </c:yVal>
          <c:smooth val="1"/>
          <c:extLst>
            <c:ext xmlns:c16="http://schemas.microsoft.com/office/drawing/2014/chart" uri="{C3380CC4-5D6E-409C-BE32-E72D297353CC}">
              <c16:uniqueId val="{00000014-0E11-4360-9583-5314D3BEF741}"/>
            </c:ext>
          </c:extLst>
        </c:ser>
        <c:dLbls>
          <c:showLegendKey val="0"/>
          <c:showVal val="0"/>
          <c:showCatName val="0"/>
          <c:showSerName val="0"/>
          <c:showPercent val="0"/>
          <c:showBubbleSize val="0"/>
        </c:dLbls>
        <c:axId val="226591776"/>
        <c:axId val="226589256"/>
      </c:scatterChart>
      <c:valAx>
        <c:axId val="226591776"/>
        <c:scaling>
          <c:logBase val="10"/>
          <c:orientation val="minMax"/>
          <c:min val="100"/>
        </c:scaling>
        <c:delete val="0"/>
        <c:axPos val="b"/>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prstDash val="solid"/>
              <a:round/>
            </a:ln>
            <a:effectLst/>
          </c:spPr>
        </c:minorGridlines>
        <c:title>
          <c:tx>
            <c:rich>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Frequency (Hz)</a:t>
                </a:r>
              </a:p>
            </c:rich>
          </c:tx>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226589256"/>
        <c:crossesAt val="1.0000000000000004E-5"/>
        <c:crossBetween val="midCat"/>
      </c:valAx>
      <c:valAx>
        <c:axId val="226589256"/>
        <c:scaling>
          <c:logBase val="10"/>
          <c:orientation val="minMax"/>
          <c:max val="100"/>
          <c:min val="1.0000000000000002E-3"/>
        </c:scaling>
        <c:delete val="0"/>
        <c:axPos val="l"/>
        <c:majorGridlines>
          <c:spPr>
            <a:ln w="1270" cap="flat" cmpd="sng" algn="ctr">
              <a:solidFill>
                <a:srgbClr val="000000"/>
              </a:solidFill>
              <a:prstDash val="solid"/>
              <a:round/>
            </a:ln>
            <a:effectLst/>
          </c:spPr>
        </c:majorGridlines>
        <c:minorGridlines>
          <c:spPr>
            <a:ln w="9525" cap="flat" cmpd="sng" algn="ctr">
              <a:solidFill>
                <a:schemeClr val="bg1">
                  <a:lumMod val="85000"/>
                </a:schemeClr>
              </a:solidFill>
              <a:prstDash val="solid"/>
              <a:round/>
            </a:ln>
            <a:effectLst/>
          </c:spPr>
        </c:minorGridlines>
        <c:title>
          <c:tx>
            <c:rich>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Input Impedance (</a:t>
                </a:r>
                <a:r>
                  <a:rPr lang="el-GR"/>
                  <a:t>Ω)</a:t>
                </a: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226591776"/>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3333331389132197"/>
          <c:y val="0.13331719194132768"/>
          <c:w val="0.14580174732738801"/>
          <c:h val="0.27642035645718532"/>
        </c:manualLayout>
      </c:layout>
      <c:overlay val="1"/>
      <c:spPr>
        <a:solidFill>
          <a:srgbClr val="FFFFFF"/>
        </a:solidFill>
        <a:ln w="3175">
          <a:solidFill>
            <a:srgbClr val="000000"/>
          </a:solidFill>
          <a:prstDash val="solid"/>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2722</xdr:colOff>
      <xdr:row>0</xdr:row>
      <xdr:rowOff>71664</xdr:rowOff>
    </xdr:from>
    <xdr:to>
      <xdr:col>1</xdr:col>
      <xdr:colOff>2423245</xdr:colOff>
      <xdr:row>3</xdr:row>
      <xdr:rowOff>33626</xdr:rowOff>
    </xdr:to>
    <xdr:pic>
      <xdr:nvPicPr>
        <xdr:cNvPr id="3" name="Picture 2">
          <a:extLst>
            <a:ext uri="{FF2B5EF4-FFF2-40B4-BE49-F238E27FC236}">
              <a16:creationId xmlns:a16="http://schemas.microsoft.com/office/drawing/2014/main" id="{D50B4F36-BEBE-42EE-B627-57F6300639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322" y="71664"/>
          <a:ext cx="2420523" cy="5144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1653376</xdr:colOff>
      <xdr:row>5</xdr:row>
      <xdr:rowOff>169502</xdr:rowOff>
    </xdr:from>
    <xdr:to>
      <xdr:col>11</xdr:col>
      <xdr:colOff>186764</xdr:colOff>
      <xdr:row>26</xdr:row>
      <xdr:rowOff>7470</xdr:rowOff>
    </xdr:to>
    <xdr:graphicFrame macro="">
      <xdr:nvGraphicFramePr>
        <xdr:cNvPr id="4" name="1">
          <a:extLst>
            <a:ext uri="{FF2B5EF4-FFF2-40B4-BE49-F238E27FC236}">
              <a16:creationId xmlns:a16="http://schemas.microsoft.com/office/drawing/2014/main" id="{3EDB02C5-31AA-422D-97B8-973BBB51D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113125</xdr:colOff>
      <xdr:row>6</xdr:row>
      <xdr:rowOff>42154</xdr:rowOff>
    </xdr:from>
    <xdr:to>
      <xdr:col>6</xdr:col>
      <xdr:colOff>1374589</xdr:colOff>
      <xdr:row>17</xdr:row>
      <xdr:rowOff>29882</xdr:rowOff>
    </xdr:to>
    <xdr:sp macro="" textlink="">
      <xdr:nvSpPr>
        <xdr:cNvPr id="2" name="TextBox 1">
          <a:extLst>
            <a:ext uri="{FF2B5EF4-FFF2-40B4-BE49-F238E27FC236}">
              <a16:creationId xmlns:a16="http://schemas.microsoft.com/office/drawing/2014/main" id="{6F00532D-6A69-4FB7-9021-89EA55693EC0}"/>
            </a:ext>
          </a:extLst>
        </xdr:cNvPr>
        <xdr:cNvSpPr txBox="1"/>
      </xdr:nvSpPr>
      <xdr:spPr>
        <a:xfrm>
          <a:off x="5521831" y="1252389"/>
          <a:ext cx="2703287" cy="21317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Bulk Capacitors</a:t>
          </a:r>
        </a:p>
        <a:p>
          <a:pPr marL="228600" indent="-228600">
            <a:buFont typeface="+mj-lt"/>
            <a:buAutoNum type="arabicPeriod"/>
          </a:pPr>
          <a:r>
            <a:rPr lang="en-US" sz="1100"/>
            <a:t>Enter the specifications of your preferred bulk capacitor</a:t>
          </a:r>
        </a:p>
        <a:p>
          <a:pPr marL="228600" indent="-228600">
            <a:buFont typeface="+mj-lt"/>
            <a:buAutoNum type="arabicPeriod"/>
          </a:pPr>
          <a:r>
            <a:rPr lang="en-US" sz="1100">
              <a:solidFill>
                <a:schemeClr val="dk1"/>
              </a:solidFill>
              <a:effectLst/>
              <a:latin typeface="+mn-lt"/>
              <a:ea typeface="+mn-ea"/>
              <a:cs typeface="+mn-cs"/>
            </a:rPr>
            <a:t>Increase the quantity until the  Z(BULK)</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impedance is</a:t>
          </a:r>
          <a:r>
            <a:rPr lang="en-US" sz="1100" baseline="0">
              <a:solidFill>
                <a:schemeClr val="dk1"/>
              </a:solidFill>
              <a:effectLst/>
              <a:latin typeface="+mn-lt"/>
              <a:ea typeface="+mn-ea"/>
              <a:cs typeface="+mn-cs"/>
            </a:rPr>
            <a:t> below the Z(TARGET) at the crossover frequency fC</a:t>
          </a:r>
        </a:p>
        <a:p>
          <a:pPr marL="228600" indent="-228600">
            <a:buFont typeface="+mj-lt"/>
            <a:buAutoNum type="arabicPeriod"/>
          </a:pPr>
          <a:r>
            <a:rPr lang="en-US" sz="1100">
              <a:solidFill>
                <a:schemeClr val="dk1"/>
              </a:solidFill>
              <a:effectLst/>
              <a:latin typeface="+mn-lt"/>
              <a:ea typeface="+mn-ea"/>
              <a:cs typeface="+mn-cs"/>
            </a:rPr>
            <a:t>Find a different</a:t>
          </a:r>
          <a:r>
            <a:rPr lang="en-US" sz="1100" baseline="0">
              <a:solidFill>
                <a:schemeClr val="dk1"/>
              </a:solidFill>
              <a:effectLst/>
              <a:latin typeface="+mn-lt"/>
              <a:ea typeface="+mn-ea"/>
              <a:cs typeface="+mn-cs"/>
            </a:rPr>
            <a:t> bulk capacitor and repeat the exercise i</a:t>
          </a:r>
          <a:r>
            <a:rPr lang="en-US" sz="1100">
              <a:solidFill>
                <a:schemeClr val="dk1"/>
              </a:solidFill>
              <a:effectLst/>
              <a:latin typeface="+mn-lt"/>
              <a:ea typeface="+mn-ea"/>
              <a:cs typeface="+mn-cs"/>
            </a:rPr>
            <a:t>f</a:t>
          </a:r>
          <a:r>
            <a:rPr lang="en-US" sz="1100" baseline="0">
              <a:solidFill>
                <a:schemeClr val="dk1"/>
              </a:solidFill>
              <a:effectLst/>
              <a:latin typeface="+mn-lt"/>
              <a:ea typeface="+mn-ea"/>
              <a:cs typeface="+mn-cs"/>
            </a:rPr>
            <a:t> the quantity becomes too large for PCB area or the total bulk capacitance significantly exceeds the minimum C</a:t>
          </a:r>
          <a:r>
            <a:rPr lang="en-US" sz="1100" baseline="-25000">
              <a:solidFill>
                <a:schemeClr val="dk1"/>
              </a:solidFill>
              <a:effectLst/>
              <a:latin typeface="+mn-lt"/>
              <a:ea typeface="+mn-ea"/>
              <a:cs typeface="+mn-cs"/>
            </a:rPr>
            <a:t>OUT</a:t>
          </a:r>
          <a:r>
            <a:rPr lang="en-US" sz="1100" baseline="0">
              <a:solidFill>
                <a:schemeClr val="dk1"/>
              </a:solidFill>
              <a:effectLst/>
              <a:latin typeface="+mn-lt"/>
              <a:ea typeface="+mn-ea"/>
              <a:cs typeface="+mn-cs"/>
            </a:rPr>
            <a:t>. </a:t>
          </a:r>
          <a:endParaRPr lang="en-US" sz="1100"/>
        </a:p>
        <a:p>
          <a:endParaRPr lang="en-US" sz="1100"/>
        </a:p>
      </xdr:txBody>
    </xdr:sp>
    <xdr:clientData/>
  </xdr:twoCellAnchor>
  <xdr:twoCellAnchor>
    <xdr:from>
      <xdr:col>4</xdr:col>
      <xdr:colOff>116327</xdr:colOff>
      <xdr:row>18</xdr:row>
      <xdr:rowOff>34685</xdr:rowOff>
    </xdr:from>
    <xdr:to>
      <xdr:col>6</xdr:col>
      <xdr:colOff>1277471</xdr:colOff>
      <xdr:row>31</xdr:row>
      <xdr:rowOff>127000</xdr:rowOff>
    </xdr:to>
    <xdr:sp macro="" textlink="">
      <xdr:nvSpPr>
        <xdr:cNvPr id="8" name="TextBox 7">
          <a:extLst>
            <a:ext uri="{FF2B5EF4-FFF2-40B4-BE49-F238E27FC236}">
              <a16:creationId xmlns:a16="http://schemas.microsoft.com/office/drawing/2014/main" id="{E2883E3F-3E51-44C9-9A2F-11594C69D9AC}"/>
            </a:ext>
          </a:extLst>
        </xdr:cNvPr>
        <xdr:cNvSpPr txBox="1"/>
      </xdr:nvSpPr>
      <xdr:spPr>
        <a:xfrm>
          <a:off x="5525033" y="3575744"/>
          <a:ext cx="2602967" cy="2565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Mid-Frequency</a:t>
          </a:r>
        </a:p>
        <a:p>
          <a:pPr marL="228600" indent="-228600">
            <a:buFont typeface="+mj-lt"/>
            <a:buAutoNum type="arabicPeriod"/>
          </a:pPr>
          <a:r>
            <a:rPr lang="en-US" sz="1100"/>
            <a:t>Enable the Mid-Frequency capacitor if your Z(BULK) exceeds Z(TARGET) at the fSTEP frequency</a:t>
          </a:r>
        </a:p>
        <a:p>
          <a:pPr marL="228600" indent="-228600">
            <a:buFont typeface="+mj-lt"/>
            <a:buAutoNum type="arabicPeriod"/>
          </a:pPr>
          <a:r>
            <a:rPr lang="en-US" sz="1100"/>
            <a:t>Enter the specifications of your preferred MF capacitor. Typically</a:t>
          </a:r>
          <a:r>
            <a:rPr lang="en-US" sz="1100" baseline="0"/>
            <a:t> these are 0.1 to 1uF. </a:t>
          </a:r>
        </a:p>
        <a:p>
          <a:pPr marL="228600" indent="-228600">
            <a:buFont typeface="+mj-lt"/>
            <a:buAutoNum type="arabicPeriod"/>
          </a:pPr>
          <a:r>
            <a:rPr lang="en-US" sz="1100" baseline="0"/>
            <a:t>Increase the Quantity until the Z(TOTAL) impedance is roughly flat across the bottom</a:t>
          </a:r>
          <a:endParaRPr lang="en-US" sz="1100"/>
        </a:p>
        <a:p>
          <a:pPr marL="228600" indent="-228600">
            <a:buFont typeface="+mj-lt"/>
            <a:buAutoNum type="arabicPeriod"/>
          </a:pPr>
          <a:r>
            <a:rPr lang="en-US" sz="1100">
              <a:solidFill>
                <a:schemeClr val="dk1"/>
              </a:solidFill>
              <a:effectLst/>
              <a:latin typeface="+mn-lt"/>
              <a:ea typeface="+mn-ea"/>
              <a:cs typeface="+mn-cs"/>
            </a:rPr>
            <a:t>Find a different</a:t>
          </a:r>
          <a:r>
            <a:rPr lang="en-US" sz="1100" baseline="0">
              <a:solidFill>
                <a:schemeClr val="dk1"/>
              </a:solidFill>
              <a:effectLst/>
              <a:latin typeface="+mn-lt"/>
              <a:ea typeface="+mn-ea"/>
              <a:cs typeface="+mn-cs"/>
            </a:rPr>
            <a:t> MF capacitor and repeat the exercise i</a:t>
          </a:r>
          <a:r>
            <a:rPr lang="en-US" sz="1100">
              <a:solidFill>
                <a:schemeClr val="dk1"/>
              </a:solidFill>
              <a:effectLst/>
              <a:latin typeface="+mn-lt"/>
              <a:ea typeface="+mn-ea"/>
              <a:cs typeface="+mn-cs"/>
            </a:rPr>
            <a:t>f</a:t>
          </a:r>
          <a:r>
            <a:rPr lang="en-US" sz="1100" baseline="0">
              <a:solidFill>
                <a:schemeClr val="dk1"/>
              </a:solidFill>
              <a:effectLst/>
              <a:latin typeface="+mn-lt"/>
              <a:ea typeface="+mn-ea"/>
              <a:cs typeface="+mn-cs"/>
            </a:rPr>
            <a:t> the quantity becomes too large for PCB area</a:t>
          </a:r>
          <a:endParaRPr lang="en-US" sz="1100"/>
        </a:p>
      </xdr:txBody>
    </xdr:sp>
    <xdr:clientData/>
  </xdr:twoCellAnchor>
  <xdr:twoCellAnchor>
    <xdr:from>
      <xdr:col>4</xdr:col>
      <xdr:colOff>126999</xdr:colOff>
      <xdr:row>31</xdr:row>
      <xdr:rowOff>161683</xdr:rowOff>
    </xdr:from>
    <xdr:to>
      <xdr:col>6</xdr:col>
      <xdr:colOff>1284942</xdr:colOff>
      <xdr:row>46</xdr:row>
      <xdr:rowOff>52295</xdr:rowOff>
    </xdr:to>
    <xdr:sp macro="" textlink="">
      <xdr:nvSpPr>
        <xdr:cNvPr id="9" name="TextBox 8">
          <a:extLst>
            <a:ext uri="{FF2B5EF4-FFF2-40B4-BE49-F238E27FC236}">
              <a16:creationId xmlns:a16="http://schemas.microsoft.com/office/drawing/2014/main" id="{8B1BA5DE-B170-430A-9BA9-4C745AFC1DCA}"/>
            </a:ext>
          </a:extLst>
        </xdr:cNvPr>
        <xdr:cNvSpPr txBox="1"/>
      </xdr:nvSpPr>
      <xdr:spPr>
        <a:xfrm>
          <a:off x="5535705" y="6175507"/>
          <a:ext cx="2599766" cy="27593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200" b="1">
              <a:solidFill>
                <a:schemeClr val="dk1"/>
              </a:solidFill>
              <a:effectLst/>
              <a:latin typeface="+mn-lt"/>
              <a:ea typeface="+mn-ea"/>
              <a:cs typeface="+mn-cs"/>
            </a:rPr>
            <a:t>High Frequency</a:t>
          </a:r>
          <a:endParaRPr lang="en-US" sz="1100"/>
        </a:p>
        <a:p>
          <a:pPr marL="228600" indent="-228600">
            <a:buFont typeface="+mj-lt"/>
            <a:buAutoNum type="arabicPeriod"/>
          </a:pPr>
          <a:r>
            <a:rPr lang="en-US" sz="1100"/>
            <a:t>Enable the High-Frequency capacitor if your Z(MF1) exceeds Z(TARGET) at the fSTEP frequency</a:t>
          </a:r>
        </a:p>
        <a:p>
          <a:pPr marL="228600" indent="-228600">
            <a:buFont typeface="+mj-lt"/>
            <a:buAutoNum type="arabicPeriod"/>
          </a:pPr>
          <a:r>
            <a:rPr lang="en-US" sz="1100"/>
            <a:t>Enter the specifications of your preferred HF capacitor. Typically</a:t>
          </a:r>
          <a:r>
            <a:rPr lang="en-US" sz="1100" baseline="0"/>
            <a:t> these are 0.01 to 0.2uF. </a:t>
          </a:r>
        </a:p>
        <a:p>
          <a:pPr marL="228600" indent="-228600">
            <a:buFont typeface="+mj-lt"/>
            <a:buAutoNum type="arabicPeriod"/>
          </a:pPr>
          <a:r>
            <a:rPr lang="en-US" sz="1100" baseline="0"/>
            <a:t>Increase the Quantity until the Z(TOTAL) impedance is below Z(TARGET) from fC to fSTEP</a:t>
          </a:r>
          <a:endParaRPr lang="en-US" sz="1100"/>
        </a:p>
        <a:p>
          <a:pPr marL="228600" indent="-228600">
            <a:buFont typeface="+mj-lt"/>
            <a:buAutoNum type="arabicPeriod"/>
          </a:pPr>
          <a:r>
            <a:rPr lang="en-US" sz="1100">
              <a:solidFill>
                <a:schemeClr val="dk1"/>
              </a:solidFill>
              <a:effectLst/>
              <a:latin typeface="+mn-lt"/>
              <a:ea typeface="+mn-ea"/>
              <a:cs typeface="+mn-cs"/>
            </a:rPr>
            <a:t>In rare situations, you may want more than 3 different sizes of output</a:t>
          </a:r>
          <a:r>
            <a:rPr lang="en-US" sz="1100" baseline="0">
              <a:solidFill>
                <a:schemeClr val="dk1"/>
              </a:solidFill>
              <a:effectLst/>
              <a:latin typeface="+mn-lt"/>
              <a:ea typeface="+mn-ea"/>
              <a:cs typeface="+mn-cs"/>
            </a:rPr>
            <a:t> capacitors. Contact support if you need assistance designing your capacitor network.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104158</xdr:colOff>
      <xdr:row>8</xdr:row>
      <xdr:rowOff>180792</xdr:rowOff>
    </xdr:from>
    <xdr:to>
      <xdr:col>11</xdr:col>
      <xdr:colOff>663386</xdr:colOff>
      <xdr:row>29</xdr:row>
      <xdr:rowOff>152083</xdr:rowOff>
    </xdr:to>
    <xdr:graphicFrame macro="">
      <xdr:nvGraphicFramePr>
        <xdr:cNvPr id="3" name="1">
          <a:extLst>
            <a:ext uri="{FF2B5EF4-FFF2-40B4-BE49-F238E27FC236}">
              <a16:creationId xmlns:a16="http://schemas.microsoft.com/office/drawing/2014/main" id="{51C18143-FD6C-44FB-9CBA-A059D913F1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436390</xdr:colOff>
      <xdr:row>20</xdr:row>
      <xdr:rowOff>109019</xdr:rowOff>
    </xdr:from>
    <xdr:to>
      <xdr:col>6</xdr:col>
      <xdr:colOff>1416107</xdr:colOff>
      <xdr:row>32</xdr:row>
      <xdr:rowOff>54429</xdr:rowOff>
    </xdr:to>
    <xdr:sp macro="" textlink="">
      <xdr:nvSpPr>
        <xdr:cNvPr id="4" name="TextBox 3">
          <a:extLst>
            <a:ext uri="{FF2B5EF4-FFF2-40B4-BE49-F238E27FC236}">
              <a16:creationId xmlns:a16="http://schemas.microsoft.com/office/drawing/2014/main" id="{F4555558-03E9-43F6-A449-0F67A158B4C2}"/>
            </a:ext>
          </a:extLst>
        </xdr:cNvPr>
        <xdr:cNvSpPr txBox="1"/>
      </xdr:nvSpPr>
      <xdr:spPr>
        <a:xfrm>
          <a:off x="8491819" y="4009733"/>
          <a:ext cx="2703288" cy="2231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First</a:t>
          </a:r>
          <a:r>
            <a:rPr lang="en-US" sz="1200" b="1" baseline="0"/>
            <a:t> Capacitor type</a:t>
          </a:r>
          <a:endParaRPr lang="en-US" sz="1200" b="1"/>
        </a:p>
        <a:p>
          <a:pPr marL="228600" indent="-228600">
            <a:buFont typeface="+mj-lt"/>
            <a:buAutoNum type="arabicPeriod"/>
          </a:pPr>
          <a:r>
            <a:rPr lang="en-US" sz="1100"/>
            <a:t>Select a capacitor (or</a:t>
          </a:r>
          <a:r>
            <a:rPr lang="en-US" sz="1100" baseline="0"/>
            <a:t> multiples in parallel)</a:t>
          </a:r>
          <a:r>
            <a:rPr lang="en-US" sz="1100"/>
            <a:t> to meet your RMS current requirement and minimum ripple capacitance.</a:t>
          </a:r>
          <a:r>
            <a:rPr lang="en-US" sz="1100" baseline="0"/>
            <a:t> </a:t>
          </a:r>
        </a:p>
        <a:p>
          <a:pPr marL="228600" indent="-228600">
            <a:buFont typeface="+mj-lt"/>
            <a:buAutoNum type="arabicPeriod"/>
          </a:pPr>
          <a:r>
            <a:rPr lang="en-US" sz="1100" baseline="0"/>
            <a:t>Low ESR tantalum are an acceptable alternative if </a:t>
          </a:r>
          <a:r>
            <a:rPr lang="en-US" sz="1100" baseline="0">
              <a:solidFill>
                <a:schemeClr val="dk1"/>
              </a:solidFill>
              <a:effectLst/>
              <a:latin typeface="+mn-lt"/>
              <a:ea typeface="+mn-ea"/>
              <a:cs typeface="+mn-cs"/>
            </a:rPr>
            <a:t>space-rated ceramic of this capacity are not feasible. </a:t>
          </a:r>
        </a:p>
        <a:p>
          <a:pPr marL="228600" indent="-228600">
            <a:buFont typeface="+mj-lt"/>
            <a:buAutoNum type="arabicPeriod"/>
          </a:pPr>
          <a:r>
            <a:rPr lang="en-US" sz="1100" baseline="0">
              <a:solidFill>
                <a:schemeClr val="dk1"/>
              </a:solidFill>
              <a:effectLst/>
              <a:latin typeface="+mn-lt"/>
              <a:ea typeface="+mn-ea"/>
              <a:cs typeface="+mn-cs"/>
            </a:rPr>
            <a:t>The impedance of these capacitors, Z(BULK), should be lower than Z(TARGET) at the switching frequency, fSW. </a:t>
          </a:r>
          <a:endParaRPr lang="en-US" sz="1100"/>
        </a:p>
      </xdr:txBody>
    </xdr:sp>
    <xdr:clientData/>
  </xdr:twoCellAnchor>
  <xdr:twoCellAnchor>
    <xdr:from>
      <xdr:col>4</xdr:col>
      <xdr:colOff>384629</xdr:colOff>
      <xdr:row>3</xdr:row>
      <xdr:rowOff>126094</xdr:rowOff>
    </xdr:from>
    <xdr:to>
      <xdr:col>6</xdr:col>
      <xdr:colOff>1364346</xdr:colOff>
      <xdr:row>20</xdr:row>
      <xdr:rowOff>18143</xdr:rowOff>
    </xdr:to>
    <xdr:sp macro="" textlink="">
      <xdr:nvSpPr>
        <xdr:cNvPr id="5" name="TextBox 4">
          <a:extLst>
            <a:ext uri="{FF2B5EF4-FFF2-40B4-BE49-F238E27FC236}">
              <a16:creationId xmlns:a16="http://schemas.microsoft.com/office/drawing/2014/main" id="{C06F5BF0-8D50-40CE-BD1F-F15F5B7F78D5}"/>
            </a:ext>
          </a:extLst>
        </xdr:cNvPr>
        <xdr:cNvSpPr txBox="1"/>
      </xdr:nvSpPr>
      <xdr:spPr>
        <a:xfrm>
          <a:off x="8440058" y="670380"/>
          <a:ext cx="2703288" cy="32484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VIN Ripple Targets</a:t>
          </a:r>
        </a:p>
        <a:p>
          <a:pPr marL="228600" indent="-228600">
            <a:buFont typeface="+mj-lt"/>
            <a:buAutoNum type="arabicPeriod"/>
          </a:pPr>
          <a:r>
            <a:rPr lang="en-US" sz="1100"/>
            <a:t>Enter your target max RMS input ripple voltage. If you don't know, 75 mV is a good target. </a:t>
          </a:r>
        </a:p>
        <a:p>
          <a:pPr marL="228600" indent="-228600">
            <a:buFont typeface="+mj-lt"/>
            <a:buAutoNum type="arabicPeriod"/>
          </a:pPr>
          <a:r>
            <a:rPr lang="en-US" sz="1100"/>
            <a:t>Enter your target VIN droop due to a VOUT load step. 100mV is a safe target, but</a:t>
          </a:r>
          <a:r>
            <a:rPr lang="en-US" sz="1100" baseline="0"/>
            <a:t> you may need to tighten this target if you are operating near any component's minimum VIN or UVLO level. </a:t>
          </a:r>
        </a:p>
        <a:p>
          <a:pPr marL="228600" indent="-228600">
            <a:buFont typeface="+mj-lt"/>
            <a:buAutoNum type="arabicPeriod"/>
          </a:pPr>
          <a:r>
            <a:rPr lang="en-US" sz="1100" baseline="0"/>
            <a:t>This results in a minimum capacitance to meet that VIN Ripple RMS (assuming zero ESR), and a minimum to meet the load step transient. </a:t>
          </a:r>
        </a:p>
        <a:p>
          <a:pPr marL="228600" indent="-228600">
            <a:buFont typeface="+mj-lt"/>
            <a:buAutoNum type="arabicPeriod"/>
          </a:pPr>
          <a:r>
            <a:rPr lang="en-US" sz="1100" baseline="0"/>
            <a:t>It also calculates your input capacitor RMS current. </a:t>
          </a:r>
        </a:p>
        <a:p>
          <a:pPr marL="228600" indent="-228600">
            <a:buFont typeface="+mj-lt"/>
            <a:buAutoNum type="arabicPeriod"/>
          </a:pPr>
          <a:r>
            <a:rPr lang="en-US" sz="1100" baseline="0"/>
            <a:t>And a target impedance to meet the ripple voltage spec</a:t>
          </a:r>
        </a:p>
      </xdr:txBody>
    </xdr:sp>
    <xdr:clientData/>
  </xdr:twoCellAnchor>
  <xdr:twoCellAnchor>
    <xdr:from>
      <xdr:col>4</xdr:col>
      <xdr:colOff>427317</xdr:colOff>
      <xdr:row>32</xdr:row>
      <xdr:rowOff>101548</xdr:rowOff>
    </xdr:from>
    <xdr:to>
      <xdr:col>6</xdr:col>
      <xdr:colOff>1407034</xdr:colOff>
      <xdr:row>43</xdr:row>
      <xdr:rowOff>114194</xdr:rowOff>
    </xdr:to>
    <xdr:sp macro="" textlink="">
      <xdr:nvSpPr>
        <xdr:cNvPr id="6" name="TextBox 5">
          <a:extLst>
            <a:ext uri="{FF2B5EF4-FFF2-40B4-BE49-F238E27FC236}">
              <a16:creationId xmlns:a16="http://schemas.microsoft.com/office/drawing/2014/main" id="{C2F27928-0FBF-4D30-8661-0355A0C19F12}"/>
            </a:ext>
          </a:extLst>
        </xdr:cNvPr>
        <xdr:cNvSpPr txBox="1"/>
      </xdr:nvSpPr>
      <xdr:spPr>
        <a:xfrm>
          <a:off x="8482746" y="6288262"/>
          <a:ext cx="2703288" cy="20900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Second</a:t>
          </a:r>
          <a:r>
            <a:rPr lang="en-US" sz="1200" b="1" baseline="0"/>
            <a:t> Capacitor type</a:t>
          </a:r>
          <a:endParaRPr lang="en-US" sz="1200" b="1"/>
        </a:p>
        <a:p>
          <a:pPr marL="228600" indent="-228600">
            <a:buFont typeface="+mj-lt"/>
            <a:buAutoNum type="arabicPeriod"/>
          </a:pPr>
          <a:r>
            <a:rPr lang="en-US" sz="1100"/>
            <a:t>The ISL73007 input</a:t>
          </a:r>
          <a:r>
            <a:rPr lang="en-US" sz="1100" baseline="0"/>
            <a:t> current is composed of high current spikes at every switching transition and the RMS current at the switching frequency.</a:t>
          </a:r>
        </a:p>
        <a:p>
          <a:pPr marL="228600" indent="-228600">
            <a:buFont typeface="+mj-lt"/>
            <a:buAutoNum type="arabicPeriod"/>
          </a:pPr>
          <a:r>
            <a:rPr lang="en-US" sz="1100" baseline="0"/>
            <a:t>If the bulk input capacitance is ceramic, you usually do not need a second type of CIN. </a:t>
          </a:r>
        </a:p>
        <a:p>
          <a:pPr marL="228600" indent="-228600">
            <a:buFont typeface="+mj-lt"/>
            <a:buAutoNum type="arabicPeriod"/>
          </a:pPr>
          <a:r>
            <a:rPr lang="en-US" sz="1100" baseline="0"/>
            <a:t>Tantalum bulk capacitance will often need help at high frequency, and 1-2 100nF 0603 are usually sufficient.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EB00-53C0-470E-9E1E-DF188DDA2C16}">
  <sheetPr codeName="Sheet1"/>
  <dimension ref="B2:Q40"/>
  <sheetViews>
    <sheetView tabSelected="1" workbookViewId="0">
      <selection activeCell="C10" sqref="C10"/>
    </sheetView>
  </sheetViews>
  <sheetFormatPr defaultRowHeight="14.5" x14ac:dyDescent="0.35"/>
  <cols>
    <col min="2" max="2" width="53.453125" bestFit="1" customWidth="1"/>
    <col min="3" max="3" width="17.1796875" customWidth="1"/>
    <col min="6" max="6" width="47.90625" customWidth="1"/>
    <col min="7" max="8" width="14.1796875" customWidth="1"/>
  </cols>
  <sheetData>
    <row r="2" spans="2:17" x14ac:dyDescent="0.35">
      <c r="D2" s="23"/>
      <c r="E2" s="12" t="s">
        <v>34</v>
      </c>
    </row>
    <row r="3" spans="2:17" x14ac:dyDescent="0.35">
      <c r="D3" s="24"/>
      <c r="E3" s="12" t="s">
        <v>35</v>
      </c>
    </row>
    <row r="4" spans="2:17" x14ac:dyDescent="0.35">
      <c r="D4" s="69"/>
      <c r="E4" s="12" t="s">
        <v>209</v>
      </c>
    </row>
    <row r="5" spans="2:17" x14ac:dyDescent="0.35">
      <c r="D5" s="6"/>
      <c r="E5" s="12" t="s">
        <v>246</v>
      </c>
    </row>
    <row r="6" spans="2:17" x14ac:dyDescent="0.35">
      <c r="B6" s="98" t="s">
        <v>248</v>
      </c>
      <c r="C6" s="99">
        <f>MAX('Revision History'!C4:C14)</f>
        <v>1.3</v>
      </c>
      <c r="D6" s="1"/>
      <c r="E6" s="1"/>
      <c r="F6" s="1"/>
      <c r="G6" s="1"/>
      <c r="H6" s="1"/>
      <c r="I6" s="1"/>
    </row>
    <row r="7" spans="2:17" x14ac:dyDescent="0.35">
      <c r="G7" s="6" t="s">
        <v>227</v>
      </c>
      <c r="H7" s="6" t="s">
        <v>228</v>
      </c>
    </row>
    <row r="8" spans="2:17" ht="16.5" x14ac:dyDescent="0.45">
      <c r="B8" s="2" t="s">
        <v>10</v>
      </c>
      <c r="C8" s="3">
        <v>12</v>
      </c>
      <c r="D8" s="4" t="s">
        <v>0</v>
      </c>
      <c r="F8" s="2" t="s">
        <v>24</v>
      </c>
      <c r="G8" s="3">
        <v>2</v>
      </c>
      <c r="H8" s="60">
        <f>0.5*'DS Parameters'!D3</f>
        <v>1.5</v>
      </c>
      <c r="I8" s="4" t="s">
        <v>3</v>
      </c>
      <c r="K8" s="101" t="s">
        <v>30</v>
      </c>
      <c r="L8" s="102"/>
      <c r="M8" s="102"/>
      <c r="N8" s="102"/>
      <c r="O8" s="102"/>
      <c r="P8" s="102"/>
      <c r="Q8" s="102"/>
    </row>
    <row r="9" spans="2:17" ht="16.5" x14ac:dyDescent="0.45">
      <c r="B9" s="2" t="s">
        <v>11</v>
      </c>
      <c r="C9" s="3">
        <v>3.3</v>
      </c>
      <c r="D9" s="4" t="s">
        <v>0</v>
      </c>
      <c r="F9" s="2" t="s">
        <v>156</v>
      </c>
      <c r="G9" s="118">
        <v>100</v>
      </c>
      <c r="H9" s="119"/>
      <c r="I9" s="4" t="s">
        <v>50</v>
      </c>
      <c r="K9" s="102"/>
      <c r="L9" s="102"/>
      <c r="M9" s="102"/>
      <c r="N9" s="102"/>
      <c r="O9" s="102"/>
      <c r="P9" s="102"/>
      <c r="Q9" s="102"/>
    </row>
    <row r="10" spans="2:17" ht="16.5" x14ac:dyDescent="0.45">
      <c r="B10" s="2" t="s">
        <v>12</v>
      </c>
      <c r="C10" s="3">
        <v>3</v>
      </c>
      <c r="D10" s="4" t="s">
        <v>3</v>
      </c>
      <c r="F10" s="2" t="s">
        <v>152</v>
      </c>
      <c r="G10" s="3">
        <v>2</v>
      </c>
      <c r="H10" s="120">
        <v>2</v>
      </c>
      <c r="I10" s="11" t="s">
        <v>6</v>
      </c>
      <c r="K10" s="102"/>
      <c r="L10" s="102"/>
      <c r="M10" s="102"/>
      <c r="N10" s="102"/>
      <c r="O10" s="102"/>
      <c r="P10" s="102"/>
      <c r="Q10" s="102"/>
    </row>
    <row r="11" spans="2:17" ht="16.5" x14ac:dyDescent="0.45">
      <c r="B11" s="2" t="s">
        <v>143</v>
      </c>
      <c r="C11" s="3">
        <v>500</v>
      </c>
      <c r="D11" s="4" t="s">
        <v>4</v>
      </c>
      <c r="F11" s="2" t="s">
        <v>153</v>
      </c>
      <c r="G11" s="60">
        <f>G10*C24/100</f>
        <v>6.6545454545454533E-2</v>
      </c>
      <c r="H11" s="60">
        <f>H10*C24/100</f>
        <v>6.6545454545454533E-2</v>
      </c>
      <c r="I11" s="11" t="s">
        <v>0</v>
      </c>
      <c r="K11" s="102"/>
      <c r="L11" s="102"/>
      <c r="M11" s="102"/>
      <c r="N11" s="102"/>
      <c r="O11" s="102"/>
      <c r="P11" s="102"/>
      <c r="Q11" s="102"/>
    </row>
    <row r="12" spans="2:17" x14ac:dyDescent="0.35">
      <c r="B12" s="2" t="s">
        <v>141</v>
      </c>
      <c r="C12" s="7">
        <f>100*C9/C8</f>
        <v>27.5</v>
      </c>
      <c r="D12" s="4" t="s">
        <v>6</v>
      </c>
      <c r="K12" s="102"/>
      <c r="L12" s="102"/>
      <c r="M12" s="102"/>
      <c r="N12" s="102"/>
      <c r="O12" s="102"/>
      <c r="P12" s="102"/>
      <c r="Q12" s="102"/>
    </row>
    <row r="13" spans="2:17" x14ac:dyDescent="0.35">
      <c r="B13" s="2" t="s">
        <v>54</v>
      </c>
      <c r="C13" s="14">
        <f>(C12*0.01/C11)*1000000</f>
        <v>550</v>
      </c>
      <c r="D13" s="4" t="s">
        <v>50</v>
      </c>
      <c r="K13" s="102"/>
      <c r="L13" s="102"/>
      <c r="M13" s="102"/>
      <c r="N13" s="102"/>
      <c r="O13" s="102"/>
      <c r="P13" s="102"/>
      <c r="Q13" s="102"/>
    </row>
    <row r="14" spans="2:17" x14ac:dyDescent="0.35">
      <c r="B14" s="2" t="s">
        <v>55</v>
      </c>
      <c r="C14" s="14">
        <f>((1-(C12*0.01))/C11)*1000000</f>
        <v>1450</v>
      </c>
      <c r="D14" s="4" t="s">
        <v>50</v>
      </c>
      <c r="K14" s="102"/>
      <c r="L14" s="102"/>
      <c r="M14" s="102"/>
      <c r="N14" s="102"/>
      <c r="O14" s="102"/>
      <c r="P14" s="102"/>
      <c r="Q14" s="102"/>
    </row>
    <row r="15" spans="2:17" x14ac:dyDescent="0.35">
      <c r="B15" s="1"/>
      <c r="C15" s="13"/>
      <c r="D15" s="9"/>
      <c r="K15" s="102"/>
      <c r="L15" s="102"/>
      <c r="M15" s="102"/>
      <c r="N15" s="102"/>
      <c r="O15" s="102"/>
      <c r="P15" s="102"/>
      <c r="Q15" s="102"/>
    </row>
    <row r="16" spans="2:17" ht="16.5" x14ac:dyDescent="0.45">
      <c r="B16" s="2" t="s">
        <v>237</v>
      </c>
      <c r="C16" s="80" t="s">
        <v>37</v>
      </c>
      <c r="D16" s="9"/>
      <c r="G16" s="6" t="s">
        <v>227</v>
      </c>
      <c r="H16" s="6" t="s">
        <v>228</v>
      </c>
      <c r="K16" s="102"/>
      <c r="L16" s="102"/>
      <c r="M16" s="102"/>
      <c r="N16" s="102"/>
      <c r="O16" s="102"/>
      <c r="P16" s="102"/>
      <c r="Q16" s="102"/>
    </row>
    <row r="17" spans="2:17" ht="16.5" x14ac:dyDescent="0.45">
      <c r="B17" s="2" t="s">
        <v>25</v>
      </c>
      <c r="C17" s="14">
        <f>IF(C16="Yes",'DS Parameters'!C37,'DS Parameters'!C34)</f>
        <v>100</v>
      </c>
      <c r="D17" s="4" t="s">
        <v>15</v>
      </c>
      <c r="F17" s="2" t="s">
        <v>20</v>
      </c>
      <c r="G17" s="5">
        <f>G8/(0.01*G10*'DS Parameters'!D2*'DS Parameters'!D6/1000*'DS Parameters'!D7*1000)</f>
        <v>15.047550258817864</v>
      </c>
      <c r="H17" s="79"/>
      <c r="I17" s="6" t="s">
        <v>1</v>
      </c>
      <c r="K17" s="102"/>
      <c r="L17" s="102"/>
      <c r="M17" s="102"/>
      <c r="N17" s="102"/>
      <c r="O17" s="102"/>
      <c r="P17" s="102"/>
      <c r="Q17" s="102"/>
    </row>
    <row r="18" spans="2:17" ht="30" x14ac:dyDescent="0.45">
      <c r="B18" s="61" t="s">
        <v>252</v>
      </c>
      <c r="C18" s="5">
        <f>IF(C16="Yes",0.2,2)</f>
        <v>2</v>
      </c>
      <c r="D18" s="4" t="s">
        <v>15</v>
      </c>
      <c r="F18" s="2" t="s">
        <v>32</v>
      </c>
      <c r="G18" s="3">
        <v>14</v>
      </c>
      <c r="H18" s="79"/>
      <c r="I18" s="6" t="s">
        <v>1</v>
      </c>
      <c r="K18" s="102"/>
      <c r="L18" s="102"/>
      <c r="M18" s="102"/>
      <c r="N18" s="102"/>
      <c r="O18" s="102"/>
      <c r="P18" s="102"/>
      <c r="Q18" s="102"/>
    </row>
    <row r="19" spans="2:17" ht="16.5" x14ac:dyDescent="0.45">
      <c r="B19" s="2" t="s">
        <v>144</v>
      </c>
      <c r="C19" s="22">
        <v>2.2000000000000002</v>
      </c>
      <c r="D19" s="4" t="s">
        <v>15</v>
      </c>
      <c r="F19" s="2" t="s">
        <v>155</v>
      </c>
      <c r="G19" s="107">
        <f>C11/10</f>
        <v>50</v>
      </c>
      <c r="H19" s="108"/>
      <c r="I19" s="6" t="s">
        <v>4</v>
      </c>
      <c r="K19" s="102"/>
      <c r="L19" s="102"/>
      <c r="M19" s="102"/>
      <c r="N19" s="102"/>
      <c r="O19" s="102"/>
      <c r="P19" s="102"/>
      <c r="Q19" s="102"/>
    </row>
    <row r="20" spans="2:17" ht="16.5" x14ac:dyDescent="0.45">
      <c r="B20" s="2" t="s">
        <v>249</v>
      </c>
      <c r="C20" s="5">
        <f>(Main!C9-'DS Parameters'!D2)/('DS Parameters'!D2/C19)</f>
        <v>9.9</v>
      </c>
      <c r="D20" s="4" t="s">
        <v>15</v>
      </c>
      <c r="F20" s="2" t="s">
        <v>239</v>
      </c>
      <c r="G20" s="14">
        <f>'DS Parameters'!D2*'DS Parameters'!D6*'DS Parameters'!D7*G18*1000/(2*PI()*G19*C24)</f>
        <v>89.006958377579764</v>
      </c>
      <c r="H20" s="7">
        <f>1000*'DS Parameters'!D2*'DS Parameters'!D5*'DS Parameters'!D7/(2*PI()*Main!G19*Main!C24)</f>
        <v>82.656206510676142</v>
      </c>
      <c r="I20" s="16" t="s">
        <v>8</v>
      </c>
      <c r="K20" s="102"/>
      <c r="L20" s="102"/>
      <c r="M20" s="102"/>
      <c r="N20" s="102"/>
      <c r="O20" s="102"/>
      <c r="P20" s="102"/>
      <c r="Q20" s="102"/>
    </row>
    <row r="21" spans="2:17" ht="16.5" x14ac:dyDescent="0.45">
      <c r="B21" s="2" t="s">
        <v>145</v>
      </c>
      <c r="C21" s="22">
        <v>10</v>
      </c>
      <c r="D21" s="4" t="s">
        <v>15</v>
      </c>
      <c r="F21" s="2" t="s">
        <v>157</v>
      </c>
      <c r="G21" s="103">
        <f>((C24*G10*0.01)/G8)*1000</f>
        <v>33.272727272727266</v>
      </c>
      <c r="H21" s="104"/>
      <c r="I21" s="6" t="s">
        <v>16</v>
      </c>
      <c r="K21" s="102"/>
      <c r="L21" s="102"/>
      <c r="M21" s="102"/>
      <c r="N21" s="102"/>
      <c r="O21" s="102"/>
      <c r="P21" s="102"/>
      <c r="Q21" s="102"/>
    </row>
    <row r="22" spans="2:17" ht="16.5" x14ac:dyDescent="0.45">
      <c r="F22" s="2" t="s">
        <v>163</v>
      </c>
      <c r="G22" s="105">
        <f>'COUT Network Design'!C43</f>
        <v>144</v>
      </c>
      <c r="H22" s="106"/>
      <c r="I22" s="16" t="s">
        <v>8</v>
      </c>
      <c r="K22" s="102"/>
      <c r="L22" s="102"/>
      <c r="M22" s="102"/>
      <c r="N22" s="102"/>
      <c r="O22" s="102"/>
      <c r="P22" s="102"/>
      <c r="Q22" s="102"/>
    </row>
    <row r="23" spans="2:17" x14ac:dyDescent="0.35">
      <c r="B23" s="2" t="s">
        <v>251</v>
      </c>
      <c r="C23" s="5" t="str">
        <f>IF(AND((C16="Yes"),(C19&gt;0.22)),"FB too high","OK")</f>
        <v>OK</v>
      </c>
      <c r="D23" s="4"/>
    </row>
    <row r="24" spans="2:17" ht="16.5" x14ac:dyDescent="0.45">
      <c r="B24" s="100" t="s">
        <v>250</v>
      </c>
      <c r="C24" s="5">
        <f>'DS Parameters'!D2*(1+(Main!C21/C19))</f>
        <v>3.3272727272727267</v>
      </c>
      <c r="D24" s="4" t="s">
        <v>0</v>
      </c>
      <c r="F24" s="2" t="s">
        <v>185</v>
      </c>
      <c r="G24" s="7">
        <f>1000000*'DS Parameters'!D2/Main!C24*Main!G18/(2*PI())/Main!G22/(1000/'DS Parameters'!D7)</f>
        <v>33.483416989278531</v>
      </c>
      <c r="H24" s="7">
        <f>1000*'DS Parameters'!D2*'DS Parameters'!D5*'DS Parameters'!D7/(2*PI()*G22*Main!C24)</f>
        <v>28.700071705095887</v>
      </c>
      <c r="I24" s="6" t="s">
        <v>4</v>
      </c>
    </row>
    <row r="25" spans="2:17" ht="16.5" x14ac:dyDescent="0.45">
      <c r="B25" s="1"/>
      <c r="C25" s="8"/>
      <c r="D25" s="9"/>
      <c r="F25" s="2" t="s">
        <v>187</v>
      </c>
      <c r="G25" s="7">
        <f>G24/10</f>
        <v>3.3483416989278529</v>
      </c>
      <c r="H25" s="7" t="s">
        <v>255</v>
      </c>
      <c r="I25" s="6" t="s">
        <v>4</v>
      </c>
      <c r="P25" s="41"/>
    </row>
    <row r="26" spans="2:17" ht="16.5" x14ac:dyDescent="0.45">
      <c r="B26" s="2" t="s">
        <v>208</v>
      </c>
      <c r="C26" s="7">
        <f>C24*C17/'DS Parameters'!D8</f>
        <v>2.0538720538720536</v>
      </c>
      <c r="D26" s="4" t="s">
        <v>148</v>
      </c>
      <c r="F26" s="2" t="s">
        <v>188</v>
      </c>
      <c r="G26" s="14">
        <f>1000/(2*PI()*G25*G18)</f>
        <v>3.3951762523191089</v>
      </c>
      <c r="H26" s="81"/>
      <c r="I26" s="6" t="s">
        <v>2</v>
      </c>
    </row>
    <row r="27" spans="2:17" ht="16.5" x14ac:dyDescent="0.45">
      <c r="B27" s="2" t="s">
        <v>146</v>
      </c>
      <c r="C27" s="7">
        <f>4*C26</f>
        <v>8.2154882154882145</v>
      </c>
      <c r="D27" s="4" t="s">
        <v>148</v>
      </c>
      <c r="F27" s="2" t="s">
        <v>22</v>
      </c>
      <c r="G27" s="3">
        <v>3.9</v>
      </c>
      <c r="H27" s="82"/>
      <c r="I27" s="6" t="s">
        <v>2</v>
      </c>
    </row>
    <row r="29" spans="2:17" ht="16.5" x14ac:dyDescent="0.45">
      <c r="B29" s="2" t="s">
        <v>48</v>
      </c>
      <c r="C29" s="3">
        <v>33</v>
      </c>
      <c r="D29" s="4" t="s">
        <v>6</v>
      </c>
      <c r="F29" s="2" t="s">
        <v>56</v>
      </c>
      <c r="G29" s="105">
        <f>'COUT Network Design'!C14</f>
        <v>30</v>
      </c>
      <c r="H29" s="106"/>
      <c r="I29" s="16" t="s">
        <v>19</v>
      </c>
    </row>
    <row r="30" spans="2:17" ht="16.5" x14ac:dyDescent="0.45">
      <c r="B30" s="2" t="s">
        <v>147</v>
      </c>
      <c r="C30" s="14">
        <f>1000000*(C8-C24)*0.01*C12/(C29*0.01*C10*C11*1000)</f>
        <v>4.8181818181818183</v>
      </c>
      <c r="D30" s="4" t="s">
        <v>148</v>
      </c>
    </row>
    <row r="31" spans="2:17" ht="16.5" x14ac:dyDescent="0.45">
      <c r="B31" s="1"/>
      <c r="C31" s="19"/>
      <c r="D31" s="9"/>
      <c r="F31" s="2" t="s">
        <v>57</v>
      </c>
      <c r="G31" s="107">
        <f>1000000/(2*PI()*G22*G29)</f>
        <v>36.841422012012814</v>
      </c>
      <c r="H31" s="108"/>
      <c r="I31" s="6" t="s">
        <v>4</v>
      </c>
    </row>
    <row r="32" spans="2:17" ht="16.5" x14ac:dyDescent="0.45">
      <c r="B32" s="2" t="s">
        <v>31</v>
      </c>
      <c r="C32" s="17">
        <v>4.7</v>
      </c>
      <c r="D32" s="4" t="s">
        <v>148</v>
      </c>
      <c r="F32" s="2" t="s">
        <v>23</v>
      </c>
      <c r="G32" s="14">
        <f>1000000/(2*PI()*G31*G18)</f>
        <v>308.57142857142856</v>
      </c>
      <c r="H32" s="81"/>
      <c r="I32" s="6" t="s">
        <v>9</v>
      </c>
    </row>
    <row r="33" spans="2:9" ht="16.5" x14ac:dyDescent="0.45">
      <c r="B33" s="2" t="s">
        <v>149</v>
      </c>
      <c r="C33" s="5">
        <f>10*(C8-C24)*C12/(C11*C32)</f>
        <v>1.0148936170212766</v>
      </c>
      <c r="D33" s="4" t="s">
        <v>3</v>
      </c>
    </row>
    <row r="34" spans="2:9" ht="16.5" x14ac:dyDescent="0.45">
      <c r="B34" s="2" t="s">
        <v>150</v>
      </c>
      <c r="C34" s="14">
        <f>100*C33/C10</f>
        <v>33.829787234042549</v>
      </c>
      <c r="D34" s="4" t="s">
        <v>6</v>
      </c>
      <c r="F34" s="2" t="s">
        <v>203</v>
      </c>
      <c r="G34" s="107">
        <f>(IF(C11&gt;500,_xlfn.FORECAST.LINEAR(C11,'DS Parameters'!D25:D26,'DS Parameters'!C25:C26),_xlfn.FORECAST.LINEAR(C11,'DS Parameters'!D24:D25,'DS Parameters'!C24:C25)))/C11</f>
        <v>4.5</v>
      </c>
      <c r="H34" s="108"/>
      <c r="I34" s="6" t="s">
        <v>189</v>
      </c>
    </row>
    <row r="35" spans="2:9" ht="16.5" x14ac:dyDescent="0.45">
      <c r="B35" s="2" t="s">
        <v>151</v>
      </c>
      <c r="C35" s="7">
        <f>'DS Parameters'!D9*C17*C24/C32</f>
        <v>43.8916827852998</v>
      </c>
      <c r="D35" s="6" t="s">
        <v>1</v>
      </c>
      <c r="F35" s="2" t="s">
        <v>73</v>
      </c>
      <c r="G35" s="111">
        <f>(G22*(0.000001)*C24*C12*0.01)/(G34/1000)</f>
        <v>2.928E-2</v>
      </c>
      <c r="H35" s="112"/>
      <c r="I35" s="6" t="s">
        <v>3</v>
      </c>
    </row>
    <row r="36" spans="2:9" ht="16.5" x14ac:dyDescent="0.45">
      <c r="B36" s="61" t="s">
        <v>186</v>
      </c>
      <c r="C36" s="7" t="str">
        <f>IF(AND(C35&lt;=100,C35&gt;=25),"RSLOPE OK","RSLOPE Out of Range")</f>
        <v>RSLOPE OK</v>
      </c>
      <c r="D36" s="9"/>
      <c r="F36" s="2" t="s">
        <v>190</v>
      </c>
      <c r="G36" s="107">
        <f>G34+(IF(C11&gt;500,_xlfn.FORECAST.LINEAR(C11,'DS Parameters'!D28:D29,'DS Parameters'!C28:C29),_xlfn.FORECAST.LINEAR(C11,'DS Parameters'!D27:D28,'DS Parameters'!C27:C28)))/C11</f>
        <v>7.4</v>
      </c>
      <c r="H36" s="108"/>
      <c r="I36" s="16" t="s">
        <v>189</v>
      </c>
    </row>
    <row r="37" spans="2:9" ht="16.5" x14ac:dyDescent="0.45">
      <c r="B37" s="2" t="s">
        <v>240</v>
      </c>
      <c r="C37" s="17">
        <v>44.2</v>
      </c>
      <c r="D37" s="6" t="s">
        <v>1</v>
      </c>
    </row>
    <row r="38" spans="2:9" ht="16.5" x14ac:dyDescent="0.45">
      <c r="F38" s="2" t="s">
        <v>204</v>
      </c>
      <c r="G38" s="109">
        <f>'CIN Network Design'!C18</f>
        <v>1.3483246545810841</v>
      </c>
      <c r="H38" s="110"/>
      <c r="I38" s="6" t="s">
        <v>3</v>
      </c>
    </row>
    <row r="40" spans="2:9" ht="16.5" customHeight="1" x14ac:dyDescent="0.35">
      <c r="F40" s="2" t="s">
        <v>256</v>
      </c>
      <c r="G40" s="107">
        <v>3.9</v>
      </c>
      <c r="H40" s="108"/>
      <c r="I40" s="16" t="s">
        <v>8</v>
      </c>
    </row>
  </sheetData>
  <mergeCells count="12">
    <mergeCell ref="G40:H40"/>
    <mergeCell ref="G31:H31"/>
    <mergeCell ref="G38:H38"/>
    <mergeCell ref="G34:H34"/>
    <mergeCell ref="G35:H35"/>
    <mergeCell ref="G36:H36"/>
    <mergeCell ref="K8:Q22"/>
    <mergeCell ref="G21:H21"/>
    <mergeCell ref="G22:H22"/>
    <mergeCell ref="G19:H19"/>
    <mergeCell ref="G29:H29"/>
    <mergeCell ref="G9:H9"/>
  </mergeCells>
  <conditionalFormatting sqref="C10">
    <cfRule type="cellIs" dxfId="5" priority="2" operator="greaterThan">
      <formula>3</formula>
    </cfRule>
  </conditionalFormatting>
  <conditionalFormatting sqref="C23">
    <cfRule type="containsText" dxfId="2" priority="1" operator="containsText" text="too high">
      <formula>NOT(ISERROR(SEARCH("too high",C23)))</formula>
    </cfRule>
  </conditionalFormatting>
  <conditionalFormatting sqref="C36">
    <cfRule type="containsText" dxfId="1" priority="5" operator="containsText" text="Range">
      <formula>NOT(ISERROR(SEARCH("Range",C36)))</formula>
    </cfRule>
  </conditionalFormatting>
  <conditionalFormatting sqref="D5">
    <cfRule type="cellIs" dxfId="0" priority="3" operator="lessThan">
      <formula>1</formula>
    </cfRule>
  </conditionalFormatting>
  <dataValidations count="1">
    <dataValidation type="list" allowBlank="1" showInputMessage="1" showErrorMessage="1" sqref="C16" xr:uid="{BDCC95EA-832B-45AE-891C-E958273C10A1}">
      <formula1>"Yes,No"</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7" operator="lessThan" id="{FDBB1E44-D798-4D24-8DF9-562385B4EFE1}">
            <xm:f>'DS Parameters'!$D$10</xm:f>
            <x14:dxf>
              <font>
                <color rgb="FF9C0006"/>
              </font>
              <fill>
                <patternFill>
                  <bgColor rgb="FFFFC7CE"/>
                </patternFill>
              </fill>
            </x14:dxf>
          </x14:cfRule>
          <xm:sqref>C13</xm:sqref>
        </x14:conditionalFormatting>
        <x14:conditionalFormatting xmlns:xm="http://schemas.microsoft.com/office/excel/2006/main">
          <x14:cfRule type="cellIs" priority="6" operator="lessThan" id="{7E385F27-5FF8-407C-B16D-94BBDF9FBBA7}">
            <xm:f>'DS Parameters'!$D$11</xm:f>
            <x14:dxf>
              <font>
                <color rgb="FF9C0006"/>
              </font>
              <fill>
                <patternFill>
                  <bgColor rgb="FFFFC7CE"/>
                </patternFill>
              </fill>
            </x14:dxf>
          </x14:cfRule>
          <xm:sqref>C14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D8B8A-E76C-4864-8FA0-692CFD067E03}">
  <dimension ref="B2:F37"/>
  <sheetViews>
    <sheetView workbookViewId="0">
      <selection activeCell="D16" sqref="D16"/>
    </sheetView>
  </sheetViews>
  <sheetFormatPr defaultRowHeight="14.5" x14ac:dyDescent="0.35"/>
  <cols>
    <col min="2" max="2" width="52.36328125" customWidth="1"/>
    <col min="3" max="3" width="9.81640625" customWidth="1"/>
    <col min="4" max="4" width="21.90625" customWidth="1"/>
    <col min="6" max="6" width="16.90625" bestFit="1" customWidth="1"/>
  </cols>
  <sheetData>
    <row r="2" spans="2:6" ht="16.5" x14ac:dyDescent="0.45">
      <c r="B2" s="2" t="s">
        <v>14</v>
      </c>
      <c r="C2" s="2"/>
      <c r="D2" s="3">
        <v>0.6</v>
      </c>
      <c r="E2" s="4" t="s">
        <v>0</v>
      </c>
      <c r="F2" s="6" t="s">
        <v>53</v>
      </c>
    </row>
    <row r="3" spans="2:6" ht="16.5" x14ac:dyDescent="0.45">
      <c r="B3" s="2" t="s">
        <v>254</v>
      </c>
      <c r="C3" s="2"/>
      <c r="D3" s="3">
        <v>3</v>
      </c>
      <c r="E3" s="4" t="s">
        <v>3</v>
      </c>
      <c r="F3" s="6"/>
    </row>
    <row r="4" spans="2:6" x14ac:dyDescent="0.35">
      <c r="B4" s="2"/>
      <c r="C4" s="2"/>
      <c r="D4" s="3"/>
      <c r="E4" s="4"/>
      <c r="F4" s="6"/>
    </row>
    <row r="5" spans="2:6" ht="16.5" x14ac:dyDescent="0.45">
      <c r="B5" s="2" t="s">
        <v>230</v>
      </c>
      <c r="C5" s="2"/>
      <c r="D5" s="3">
        <v>12</v>
      </c>
      <c r="E5" s="4"/>
      <c r="F5" s="6"/>
    </row>
    <row r="6" spans="2:6" ht="16.5" x14ac:dyDescent="0.45">
      <c r="B6" s="2" t="s">
        <v>142</v>
      </c>
      <c r="C6" s="2"/>
      <c r="D6" s="3">
        <v>0.92300000000000004</v>
      </c>
      <c r="E6" s="4" t="s">
        <v>13</v>
      </c>
      <c r="F6" s="6" t="s">
        <v>53</v>
      </c>
    </row>
    <row r="7" spans="2:6" x14ac:dyDescent="0.35">
      <c r="B7" s="2" t="s">
        <v>154</v>
      </c>
      <c r="C7" s="2"/>
      <c r="D7" s="3">
        <v>12</v>
      </c>
      <c r="E7" s="4" t="s">
        <v>226</v>
      </c>
      <c r="F7" s="6" t="s">
        <v>53</v>
      </c>
    </row>
    <row r="8" spans="2:6" x14ac:dyDescent="0.35">
      <c r="B8" s="2" t="s">
        <v>206</v>
      </c>
      <c r="C8" s="2"/>
      <c r="D8" s="3">
        <v>162</v>
      </c>
      <c r="E8" s="4" t="s">
        <v>207</v>
      </c>
      <c r="F8" s="6" t="s">
        <v>53</v>
      </c>
    </row>
    <row r="9" spans="2:6" ht="16.5" x14ac:dyDescent="0.45">
      <c r="B9" s="2" t="s">
        <v>238</v>
      </c>
      <c r="C9" s="2"/>
      <c r="D9" s="3">
        <v>0.62</v>
      </c>
      <c r="E9" s="4"/>
      <c r="F9" s="6" t="s">
        <v>53</v>
      </c>
    </row>
    <row r="10" spans="2:6" x14ac:dyDescent="0.35">
      <c r="B10" s="2" t="s">
        <v>49</v>
      </c>
      <c r="C10" s="2"/>
      <c r="D10" s="3">
        <v>260</v>
      </c>
      <c r="E10" s="4" t="s">
        <v>50</v>
      </c>
      <c r="F10" s="6" t="s">
        <v>52</v>
      </c>
    </row>
    <row r="11" spans="2:6" x14ac:dyDescent="0.35">
      <c r="B11" s="2" t="s">
        <v>51</v>
      </c>
      <c r="C11" s="2"/>
      <c r="D11" s="3">
        <v>210</v>
      </c>
      <c r="E11" s="4" t="s">
        <v>50</v>
      </c>
      <c r="F11" s="6" t="s">
        <v>52</v>
      </c>
    </row>
    <row r="12" spans="2:6" x14ac:dyDescent="0.35">
      <c r="B12" s="2"/>
      <c r="C12" s="2"/>
      <c r="D12" s="3"/>
      <c r="E12" s="6"/>
      <c r="F12" s="6" t="s">
        <v>53</v>
      </c>
    </row>
    <row r="13" spans="2:6" ht="39" x14ac:dyDescent="0.35">
      <c r="B13" s="70" t="s">
        <v>192</v>
      </c>
      <c r="C13" s="70" t="s">
        <v>197</v>
      </c>
      <c r="D13" s="38">
        <v>8</v>
      </c>
      <c r="E13" s="39" t="s">
        <v>189</v>
      </c>
      <c r="F13" s="6" t="s">
        <v>53</v>
      </c>
    </row>
    <row r="14" spans="2:6" ht="27.5" x14ac:dyDescent="0.35">
      <c r="B14" s="61" t="s">
        <v>195</v>
      </c>
      <c r="C14" s="61" t="s">
        <v>197</v>
      </c>
      <c r="D14" s="3">
        <v>12.5</v>
      </c>
      <c r="E14" s="16" t="s">
        <v>189</v>
      </c>
      <c r="F14" s="6" t="s">
        <v>53</v>
      </c>
    </row>
    <row r="15" spans="2:6" ht="39" x14ac:dyDescent="0.35">
      <c r="B15" s="70" t="s">
        <v>191</v>
      </c>
      <c r="C15" s="70" t="s">
        <v>198</v>
      </c>
      <c r="D15" s="38">
        <v>4.5</v>
      </c>
      <c r="E15" s="39" t="s">
        <v>189</v>
      </c>
      <c r="F15" s="6" t="s">
        <v>53</v>
      </c>
    </row>
    <row r="16" spans="2:6" ht="27.5" x14ac:dyDescent="0.35">
      <c r="B16" s="61" t="s">
        <v>196</v>
      </c>
      <c r="C16" s="61" t="s">
        <v>198</v>
      </c>
      <c r="D16" s="3">
        <v>7.4</v>
      </c>
      <c r="E16" s="16" t="s">
        <v>189</v>
      </c>
      <c r="F16" s="6" t="s">
        <v>53</v>
      </c>
    </row>
    <row r="17" spans="2:6" ht="39" x14ac:dyDescent="0.35">
      <c r="B17" s="70" t="s">
        <v>193</v>
      </c>
      <c r="C17" s="70" t="s">
        <v>199</v>
      </c>
      <c r="D17" s="38">
        <v>2.5</v>
      </c>
      <c r="E17" s="39" t="s">
        <v>189</v>
      </c>
      <c r="F17" s="6" t="s">
        <v>53</v>
      </c>
    </row>
    <row r="18" spans="2:6" ht="27.5" x14ac:dyDescent="0.35">
      <c r="B18" s="61" t="s">
        <v>194</v>
      </c>
      <c r="C18" s="61" t="s">
        <v>199</v>
      </c>
      <c r="D18" s="3">
        <v>4</v>
      </c>
      <c r="E18" s="16" t="s">
        <v>189</v>
      </c>
      <c r="F18" s="6" t="s">
        <v>53</v>
      </c>
    </row>
    <row r="23" spans="2:6" ht="15" thickBot="1" x14ac:dyDescent="0.4">
      <c r="B23" t="s">
        <v>241</v>
      </c>
    </row>
    <row r="24" spans="2:6" x14ac:dyDescent="0.35">
      <c r="B24" s="87" t="s">
        <v>200</v>
      </c>
      <c r="C24" s="88">
        <v>300</v>
      </c>
      <c r="D24" s="89">
        <f>D13*C24</f>
        <v>2400</v>
      </c>
      <c r="E24" t="s">
        <v>202</v>
      </c>
    </row>
    <row r="25" spans="2:6" x14ac:dyDescent="0.35">
      <c r="B25" s="87"/>
      <c r="C25" s="90">
        <v>500</v>
      </c>
      <c r="D25" s="91">
        <f>D15*C25</f>
        <v>2250</v>
      </c>
      <c r="E25" t="s">
        <v>202</v>
      </c>
    </row>
    <row r="26" spans="2:6" ht="15" thickBot="1" x14ac:dyDescent="0.4">
      <c r="B26" s="87"/>
      <c r="C26" s="92">
        <v>1000</v>
      </c>
      <c r="D26" s="93">
        <f>D17*C26</f>
        <v>2500</v>
      </c>
      <c r="E26" t="s">
        <v>202</v>
      </c>
    </row>
    <row r="27" spans="2:6" x14ac:dyDescent="0.35">
      <c r="B27" s="87" t="s">
        <v>201</v>
      </c>
      <c r="C27" s="88">
        <v>300</v>
      </c>
      <c r="D27" s="89">
        <f>(D14-D13)*C27</f>
        <v>1350</v>
      </c>
      <c r="E27" t="s">
        <v>202</v>
      </c>
    </row>
    <row r="28" spans="2:6" x14ac:dyDescent="0.35">
      <c r="B28" s="87"/>
      <c r="C28" s="90">
        <v>500</v>
      </c>
      <c r="D28" s="91">
        <f>(D16-D15)*C28</f>
        <v>1450.0000000000002</v>
      </c>
      <c r="E28" t="s">
        <v>202</v>
      </c>
    </row>
    <row r="29" spans="2:6" ht="15" thickBot="1" x14ac:dyDescent="0.4">
      <c r="B29" s="87"/>
      <c r="C29" s="92">
        <v>1000</v>
      </c>
      <c r="D29" s="93">
        <f>(D18-D17)*C29</f>
        <v>1500</v>
      </c>
      <c r="E29" t="s">
        <v>202</v>
      </c>
    </row>
    <row r="30" spans="2:6" x14ac:dyDescent="0.35">
      <c r="B30" s="87"/>
      <c r="C30" s="87"/>
      <c r="D30" s="87"/>
    </row>
    <row r="31" spans="2:6" x14ac:dyDescent="0.35">
      <c r="B31" s="87"/>
      <c r="C31" s="87"/>
      <c r="D31" s="87"/>
    </row>
    <row r="32" spans="2:6" x14ac:dyDescent="0.35">
      <c r="B32" s="87"/>
      <c r="C32" s="87"/>
      <c r="D32" s="87"/>
    </row>
    <row r="33" spans="2:4" ht="16.5" x14ac:dyDescent="0.45">
      <c r="B33" s="94" t="s">
        <v>242</v>
      </c>
      <c r="C33" s="95">
        <f>Main!C11</f>
        <v>500</v>
      </c>
      <c r="D33" s="96" t="s">
        <v>4</v>
      </c>
    </row>
    <row r="34" spans="2:4" ht="16.5" x14ac:dyDescent="0.45">
      <c r="B34" s="94" t="s">
        <v>243</v>
      </c>
      <c r="C34" s="97">
        <f>IF(C33=1000,42.7,IF(C33=500,100,IF(C33=300,174,(57356/C33)-14.53)))</f>
        <v>100</v>
      </c>
      <c r="D34" s="96" t="s">
        <v>244</v>
      </c>
    </row>
    <row r="35" spans="2:4" x14ac:dyDescent="0.35">
      <c r="B35" s="87"/>
      <c r="C35" s="87"/>
      <c r="D35" s="87"/>
    </row>
    <row r="36" spans="2:4" x14ac:dyDescent="0.35">
      <c r="B36" s="94" t="s">
        <v>229</v>
      </c>
      <c r="C36" s="95">
        <f>C33*0.85</f>
        <v>425</v>
      </c>
      <c r="D36" s="96" t="s">
        <v>4</v>
      </c>
    </row>
    <row r="37" spans="2:4" ht="16.5" x14ac:dyDescent="0.45">
      <c r="B37" s="94" t="s">
        <v>245</v>
      </c>
      <c r="C37" s="97">
        <f>IF(C36=1000,42.7,IF(C36=500,100,IF(C36=300,174,(57356/C36)-14.53)))</f>
        <v>120.42529411764707</v>
      </c>
      <c r="D37" s="96" t="s">
        <v>244</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DA97-31E3-4FAD-9E07-1B6F8E33D563}">
  <dimension ref="B2:AN128"/>
  <sheetViews>
    <sheetView zoomScaleNormal="100" workbookViewId="0">
      <selection activeCell="C7" sqref="C7"/>
    </sheetView>
  </sheetViews>
  <sheetFormatPr defaultRowHeight="14.5" x14ac:dyDescent="0.35"/>
  <cols>
    <col min="2" max="2" width="34.54296875" customWidth="1"/>
    <col min="3" max="3" width="14.90625" customWidth="1"/>
    <col min="5" max="5" width="12" customWidth="1"/>
    <col min="6" max="6" width="8.6328125" customWidth="1"/>
    <col min="7" max="7" width="25.6328125" customWidth="1"/>
    <col min="8" max="14" width="19.6328125" customWidth="1"/>
    <col min="15" max="15" width="14.36328125" bestFit="1" customWidth="1"/>
    <col min="16" max="16" width="12.453125" bestFit="1" customWidth="1"/>
    <col min="17" max="17" width="10.36328125" bestFit="1" customWidth="1"/>
    <col min="18" max="18" width="11.36328125" customWidth="1"/>
    <col min="19" max="19" width="17.36328125" bestFit="1" customWidth="1"/>
    <col min="20" max="20" width="14.08984375" bestFit="1" customWidth="1"/>
    <col min="21" max="21" width="11" bestFit="1" customWidth="1"/>
    <col min="22" max="22" width="13.453125" bestFit="1" customWidth="1"/>
    <col min="24" max="24" width="21.54296875" bestFit="1" customWidth="1"/>
    <col min="25" max="25" width="12.90625" bestFit="1" customWidth="1"/>
    <col min="26" max="26" width="9.08984375" bestFit="1" customWidth="1"/>
    <col min="27" max="27" width="15.08984375" bestFit="1" customWidth="1"/>
    <col min="29" max="29" width="22.6328125" bestFit="1" customWidth="1"/>
    <col min="30" max="30" width="12.90625" bestFit="1" customWidth="1"/>
    <col min="31" max="31" width="8.6328125" bestFit="1" customWidth="1"/>
    <col min="32" max="32" width="16.36328125" bestFit="1" customWidth="1"/>
    <col min="34" max="34" width="11.6328125" bestFit="1" customWidth="1"/>
    <col min="35" max="35" width="19.453125" bestFit="1" customWidth="1"/>
    <col min="38" max="38" width="18.90625" bestFit="1" customWidth="1"/>
  </cols>
  <sheetData>
    <row r="2" spans="2:40" x14ac:dyDescent="0.35">
      <c r="F2" s="23"/>
      <c r="G2" s="12" t="s">
        <v>34</v>
      </c>
      <c r="I2" s="12"/>
      <c r="J2" s="12"/>
      <c r="K2" s="12"/>
      <c r="L2" s="12"/>
      <c r="M2" s="12"/>
      <c r="N2" s="12"/>
    </row>
    <row r="3" spans="2:40" ht="16.5" x14ac:dyDescent="0.45">
      <c r="B3" s="2" t="s">
        <v>36</v>
      </c>
      <c r="C3" s="66">
        <f>Main!G21</f>
        <v>33.272727272727266</v>
      </c>
      <c r="D3" s="6" t="s">
        <v>16</v>
      </c>
      <c r="F3" s="24"/>
      <c r="G3" s="12" t="s">
        <v>35</v>
      </c>
      <c r="I3" s="12"/>
      <c r="J3" s="12"/>
      <c r="K3" s="12"/>
      <c r="L3" s="12"/>
      <c r="M3" s="12"/>
      <c r="N3" s="12"/>
    </row>
    <row r="4" spans="2:40" ht="16.5" x14ac:dyDescent="0.45">
      <c r="B4" s="2" t="s">
        <v>21</v>
      </c>
      <c r="C4" s="67">
        <f>Main!G19</f>
        <v>50</v>
      </c>
      <c r="D4" s="6" t="s">
        <v>4</v>
      </c>
      <c r="F4" s="69"/>
      <c r="G4" s="12" t="s">
        <v>205</v>
      </c>
      <c r="I4" s="12"/>
      <c r="J4" s="12"/>
      <c r="K4" s="12"/>
      <c r="L4" s="12"/>
      <c r="M4" s="12"/>
      <c r="N4" s="12"/>
    </row>
    <row r="5" spans="2:40" ht="16.5" x14ac:dyDescent="0.45">
      <c r="B5" s="2" t="s">
        <v>183</v>
      </c>
      <c r="C5" s="68">
        <f>Main!G20</f>
        <v>89.006958377579764</v>
      </c>
      <c r="D5" s="16" t="s">
        <v>8</v>
      </c>
      <c r="E5" s="12"/>
      <c r="F5" s="12"/>
      <c r="G5" s="12"/>
      <c r="H5" s="12"/>
      <c r="I5" s="12"/>
      <c r="J5" s="12"/>
      <c r="K5" s="12"/>
    </row>
    <row r="6" spans="2:40" ht="16.5" x14ac:dyDescent="0.45">
      <c r="B6" s="2" t="s">
        <v>184</v>
      </c>
      <c r="C6" s="67">
        <f>Main!H20</f>
        <v>82.656206510676142</v>
      </c>
      <c r="D6" s="16" t="s">
        <v>8</v>
      </c>
      <c r="O6" s="52" t="s">
        <v>108</v>
      </c>
      <c r="P6" s="52" t="s">
        <v>133</v>
      </c>
      <c r="Q6" s="52" t="s">
        <v>132</v>
      </c>
      <c r="R6" s="1"/>
      <c r="S6" s="52" t="s">
        <v>109</v>
      </c>
      <c r="T6" s="52" t="s">
        <v>110</v>
      </c>
      <c r="U6" s="52" t="s">
        <v>111</v>
      </c>
      <c r="V6" s="52" t="s">
        <v>129</v>
      </c>
      <c r="W6" s="1"/>
      <c r="X6" s="52" t="s">
        <v>122</v>
      </c>
      <c r="Y6" s="52" t="s">
        <v>123</v>
      </c>
      <c r="Z6" s="52" t="s">
        <v>124</v>
      </c>
      <c r="AA6" s="52" t="s">
        <v>130</v>
      </c>
      <c r="AB6" s="1"/>
      <c r="AC6" s="52" t="s">
        <v>125</v>
      </c>
      <c r="AD6" s="52" t="s">
        <v>126</v>
      </c>
      <c r="AE6" s="52" t="s">
        <v>127</v>
      </c>
      <c r="AF6" s="52" t="s">
        <v>131</v>
      </c>
      <c r="AH6" s="52" t="s">
        <v>128</v>
      </c>
      <c r="AI6" s="52" t="s">
        <v>58</v>
      </c>
    </row>
    <row r="7" spans="2:40" ht="16.5" x14ac:dyDescent="0.45">
      <c r="B7" s="2" t="s">
        <v>156</v>
      </c>
      <c r="C7" s="67">
        <f>Main!G9</f>
        <v>100</v>
      </c>
      <c r="D7" s="16" t="s">
        <v>50</v>
      </c>
      <c r="O7" s="49">
        <v>1</v>
      </c>
      <c r="P7" s="6" cm="1">
        <f t="array" ref="P7">_xlfn.IFS( AND($C$20="No",$C$33="Yes"), 1/((1/V7)+(1/AF7)), AND($C$20="Yes",$C$33="No"), 1/((1/V7)+(1/AA7)), AND($C$20="No",$C$33="No"), 1/((1/V7)), AND($C$20="Yes",$C$33="Yes"), 1/((1/V7)+(1/AA7)+(1/AF7)))</f>
        <v>1105.2426604895913</v>
      </c>
      <c r="Q7" s="6">
        <f>$C$3/1000</f>
        <v>3.3272727272727266E-2</v>
      </c>
      <c r="R7" s="18"/>
      <c r="S7" s="53">
        <f t="shared" ref="S7:S38" si="0">1/(2*PI()*$O7*$C$12*$C$9*0.000001)</f>
        <v>1591.5494309189535</v>
      </c>
      <c r="T7" s="54">
        <f t="shared" ref="T7:T38" si="1">2*PI()*$O7*((0.000000001*$C$11)/$C$12)</f>
        <v>1.4451326206513048E-8</v>
      </c>
      <c r="U7" s="55">
        <f t="shared" ref="U7:U38" si="2">(0.001*$C$10)/$C$12</f>
        <v>0.03</v>
      </c>
      <c r="V7" s="56">
        <f>SQRT(U7^(2)+ABS(S7-T7)^(2))</f>
        <v>1591.5494311872453</v>
      </c>
      <c r="X7" s="53">
        <f t="shared" ref="X7:X38" si="3">1/(2*PI()*$O7*$C$24*$C$21*0.000001)</f>
        <v>3617.157797543076</v>
      </c>
      <c r="Y7" s="54">
        <f t="shared" ref="Y7:Y38" si="4">2*PI()*$O7*((0.000000001*$C$23)/$C$24)</f>
        <v>2.0420352248333655E-9</v>
      </c>
      <c r="Z7" s="56">
        <f t="shared" ref="Z7:Z38" si="5">(0.001*$C$22)/$C$24</f>
        <v>1E-3</v>
      </c>
      <c r="AA7" s="56">
        <f t="shared" ref="AA7:AA38" si="6">IF($C$20="Yes", SQRT(Z7^(2)+ABS(X7-Y7)^(2)), 0)</f>
        <v>0</v>
      </c>
      <c r="AC7" s="53">
        <f t="shared" ref="AC7:AC38" si="7">1/(2*PI()*$O7*$C$37*$C$34*0.000001)</f>
        <v>3617.157797543076</v>
      </c>
      <c r="AD7" s="54">
        <f t="shared" ref="AD7:AD38" si="8">2*PI()*$O7*((0.000000001*$C$36)/$C$37)</f>
        <v>2.0420352248333655E-9</v>
      </c>
      <c r="AE7" s="56">
        <f t="shared" ref="AE7:AE38" si="9">(0.001*$C$35)/$C$37</f>
        <v>1E-3</v>
      </c>
      <c r="AF7" s="56">
        <f t="shared" ref="AF7:AF38" si="10">IF($C$33="Yes", SQRT(AE7^(2)+ABS(AC7-AD7)^(2)), 0)</f>
        <v>3617.1577975411724</v>
      </c>
      <c r="AH7" s="57">
        <f>C4*1000</f>
        <v>50000</v>
      </c>
      <c r="AI7" s="6">
        <v>1.0000000000000001E-5</v>
      </c>
      <c r="AN7" s="18"/>
    </row>
    <row r="8" spans="2:40" x14ac:dyDescent="0.35">
      <c r="B8" s="1"/>
      <c r="C8" s="13"/>
      <c r="O8" s="49">
        <v>2</v>
      </c>
      <c r="P8" s="6" cm="1">
        <f t="array" ref="P8">_xlfn.IFS( AND($C$20="No",$C$33="Yes"), 1/((1/V8)+(1/AF8)), AND($C$20="Yes",$C$33="No"), 1/((1/V8)+(1/AA8)), AND($C$20="No",$C$33="No"), 1/((1/V8)), AND($C$20="Yes",$C$33="Yes"), 1/((1/V8)+(1/AA8)+(1/AF8)))</f>
        <v>552.62133043860604</v>
      </c>
      <c r="Q8" s="6">
        <f t="shared" ref="Q8:Q71" si="11">$C$3/1000</f>
        <v>3.3272727272727266E-2</v>
      </c>
      <c r="S8" s="53">
        <f t="shared" si="0"/>
        <v>795.77471545947674</v>
      </c>
      <c r="T8" s="54">
        <f t="shared" si="1"/>
        <v>2.8902652413026095E-8</v>
      </c>
      <c r="U8" s="55">
        <f t="shared" si="2"/>
        <v>0.03</v>
      </c>
      <c r="V8" s="56">
        <f t="shared" ref="V8:V71" si="12">SQRT(U8^(2)+ABS(S8-T8)^(2))</f>
        <v>795.77471599606088</v>
      </c>
      <c r="X8" s="53">
        <f t="shared" si="3"/>
        <v>1808.578898771538</v>
      </c>
      <c r="Y8" s="54">
        <f t="shared" si="4"/>
        <v>4.0840704496667311E-9</v>
      </c>
      <c r="Z8" s="56">
        <f t="shared" si="5"/>
        <v>1E-3</v>
      </c>
      <c r="AA8" s="56">
        <f t="shared" si="6"/>
        <v>0</v>
      </c>
      <c r="AC8" s="53">
        <f t="shared" si="7"/>
        <v>1808.578898771538</v>
      </c>
      <c r="AD8" s="54">
        <f t="shared" si="8"/>
        <v>4.0840704496667311E-9</v>
      </c>
      <c r="AE8" s="56">
        <f t="shared" si="9"/>
        <v>1E-3</v>
      </c>
      <c r="AF8" s="56">
        <f t="shared" si="10"/>
        <v>1808.5788987677304</v>
      </c>
      <c r="AH8" s="42"/>
      <c r="AI8" s="18"/>
      <c r="AN8" s="18"/>
    </row>
    <row r="9" spans="2:40" ht="16.5" x14ac:dyDescent="0.45">
      <c r="B9" s="2" t="s">
        <v>27</v>
      </c>
      <c r="C9" s="3">
        <v>100</v>
      </c>
      <c r="D9" s="16" t="s">
        <v>8</v>
      </c>
      <c r="O9" s="49">
        <v>3</v>
      </c>
      <c r="P9" s="6" cm="1">
        <f t="array" ref="P9">_xlfn.IFS( AND($C$20="No",$C$33="Yes"), 1/((1/V9)+(1/AF9)), AND($C$20="Yes",$C$33="No"), 1/((1/V9)+(1/AA9)), AND($C$20="No",$C$33="No"), 1/((1/V9)), AND($C$20="Yes",$C$33="Yes"), 1/((1/V9)+(1/AA9)+(1/AF9)))</f>
        <v>368.41422050774884</v>
      </c>
      <c r="Q9" s="6">
        <f t="shared" si="11"/>
        <v>3.3272727272727266E-2</v>
      </c>
      <c r="S9" s="53">
        <f t="shared" si="0"/>
        <v>530.51647697298449</v>
      </c>
      <c r="T9" s="54">
        <f t="shared" si="1"/>
        <v>4.3353978619539146E-8</v>
      </c>
      <c r="U9" s="55">
        <f t="shared" si="2"/>
        <v>0.03</v>
      </c>
      <c r="V9" s="56">
        <f t="shared" si="12"/>
        <v>530.51647777786047</v>
      </c>
      <c r="X9" s="53">
        <f t="shared" si="3"/>
        <v>1205.719265847692</v>
      </c>
      <c r="Y9" s="54">
        <f t="shared" si="4"/>
        <v>6.1261056745000966E-9</v>
      </c>
      <c r="Z9" s="56">
        <f t="shared" si="5"/>
        <v>1E-3</v>
      </c>
      <c r="AA9" s="56">
        <f t="shared" si="6"/>
        <v>0</v>
      </c>
      <c r="AC9" s="53">
        <f t="shared" si="7"/>
        <v>1205.719265847692</v>
      </c>
      <c r="AD9" s="54">
        <f t="shared" si="8"/>
        <v>6.1261056745000966E-9</v>
      </c>
      <c r="AE9" s="56">
        <f t="shared" si="9"/>
        <v>1E-3</v>
      </c>
      <c r="AF9" s="56">
        <f t="shared" si="10"/>
        <v>1205.7192658419806</v>
      </c>
      <c r="AH9" s="58" t="s">
        <v>137</v>
      </c>
      <c r="AI9" s="59" t="s">
        <v>58</v>
      </c>
      <c r="AN9" s="18"/>
    </row>
    <row r="10" spans="2:40" x14ac:dyDescent="0.35">
      <c r="B10" s="2" t="s">
        <v>28</v>
      </c>
      <c r="C10" s="3">
        <v>30</v>
      </c>
      <c r="D10" s="6" t="s">
        <v>16</v>
      </c>
      <c r="O10" s="49">
        <v>4</v>
      </c>
      <c r="P10" s="6" cm="1">
        <f t="array" ref="P10">_xlfn.IFS( AND($C$20="No",$C$33="Yes"), 1/((1/V10)+(1/AF10)), AND($C$20="Yes",$C$33="No"), 1/((1/V10)+(1/AA10)), AND($C$20="No",$C$33="No"), 1/((1/V10)), AND($C$20="Yes",$C$33="Yes"), 1/((1/V10)+(1/AA10)+(1/AF10)))</f>
        <v>276.31066560692375</v>
      </c>
      <c r="Q10" s="6">
        <f t="shared" si="11"/>
        <v>3.3272727272727266E-2</v>
      </c>
      <c r="S10" s="53">
        <f t="shared" si="0"/>
        <v>397.88735772973837</v>
      </c>
      <c r="T10" s="54">
        <f t="shared" si="1"/>
        <v>5.7805304826052191E-8</v>
      </c>
      <c r="U10" s="55">
        <f t="shared" si="2"/>
        <v>0.03</v>
      </c>
      <c r="V10" s="56">
        <f t="shared" si="12"/>
        <v>397.88735880290642</v>
      </c>
      <c r="X10" s="53">
        <f t="shared" si="3"/>
        <v>904.28944938576899</v>
      </c>
      <c r="Y10" s="54">
        <f t="shared" si="4"/>
        <v>8.1681408993334622E-9</v>
      </c>
      <c r="Z10" s="56">
        <f t="shared" si="5"/>
        <v>1E-3</v>
      </c>
      <c r="AA10" s="56">
        <f t="shared" si="6"/>
        <v>0</v>
      </c>
      <c r="AC10" s="53">
        <f t="shared" si="7"/>
        <v>904.28944938576899</v>
      </c>
      <c r="AD10" s="54">
        <f t="shared" si="8"/>
        <v>8.1681408993334622E-9</v>
      </c>
      <c r="AE10" s="56">
        <f t="shared" si="9"/>
        <v>1E-3</v>
      </c>
      <c r="AF10" s="56">
        <f t="shared" si="10"/>
        <v>904.28944937815379</v>
      </c>
      <c r="AH10" s="57">
        <f>0.35/(C7*0.000000001)</f>
        <v>3499999.9999999995</v>
      </c>
      <c r="AI10" s="55">
        <v>1.0000000000000001E-5</v>
      </c>
      <c r="AN10" s="18"/>
    </row>
    <row r="11" spans="2:40" x14ac:dyDescent="0.35">
      <c r="B11" s="2" t="s">
        <v>29</v>
      </c>
      <c r="C11" s="3">
        <v>2.2999999999999998</v>
      </c>
      <c r="D11" s="6" t="s">
        <v>5</v>
      </c>
      <c r="O11" s="49">
        <v>5</v>
      </c>
      <c r="P11" s="6" cm="1">
        <f t="array" ref="P11">_xlfn.IFS( AND($C$20="No",$C$33="Yes"), 1/((1/V11)+(1/AF11)), AND($C$20="Yes",$C$33="No"), 1/((1/V11)+(1/AA11)), AND($C$20="No",$C$33="No"), 1/((1/V11)), AND($C$20="Yes",$C$33="Yes"), 1/((1/V11)+(1/AA11)+(1/AF11)))</f>
        <v>221.04853271811135</v>
      </c>
      <c r="Q11" s="6">
        <f t="shared" si="11"/>
        <v>3.3272727272727266E-2</v>
      </c>
      <c r="S11" s="53">
        <f t="shared" si="0"/>
        <v>318.3098861837907</v>
      </c>
      <c r="T11" s="54">
        <f t="shared" si="1"/>
        <v>7.2256631032565235E-8</v>
      </c>
      <c r="U11" s="55">
        <f t="shared" si="2"/>
        <v>0.03</v>
      </c>
      <c r="V11" s="56">
        <f t="shared" si="12"/>
        <v>318.30988752525076</v>
      </c>
      <c r="X11" s="53">
        <f t="shared" si="3"/>
        <v>723.43155950861512</v>
      </c>
      <c r="Y11" s="54">
        <f t="shared" si="4"/>
        <v>1.0210176124166828E-8</v>
      </c>
      <c r="Z11" s="56">
        <f t="shared" si="5"/>
        <v>1E-3</v>
      </c>
      <c r="AA11" s="56">
        <f t="shared" si="6"/>
        <v>0</v>
      </c>
      <c r="AC11" s="53">
        <f t="shared" si="7"/>
        <v>723.43155950861512</v>
      </c>
      <c r="AD11" s="54">
        <f t="shared" si="8"/>
        <v>1.0210176124166828E-8</v>
      </c>
      <c r="AE11" s="56">
        <f t="shared" si="9"/>
        <v>1E-3</v>
      </c>
      <c r="AF11" s="56">
        <f t="shared" si="10"/>
        <v>723.43155949909601</v>
      </c>
      <c r="AH11" s="42"/>
      <c r="AI11" s="18"/>
      <c r="AN11" s="18"/>
    </row>
    <row r="12" spans="2:40" x14ac:dyDescent="0.35">
      <c r="B12" s="2" t="s">
        <v>158</v>
      </c>
      <c r="C12" s="3">
        <v>1</v>
      </c>
      <c r="D12" s="6"/>
      <c r="O12" s="49">
        <v>6</v>
      </c>
      <c r="P12" s="6" cm="1">
        <f t="array" ref="P12">_xlfn.IFS( AND($C$20="No",$C$33="Yes"), 1/((1/V12)+(1/AF12)), AND($C$20="Yes",$C$33="No"), 1/((1/V12)+(1/AA12)), AND($C$20="No",$C$33="No"), 1/((1/V12)), AND($C$20="Yes",$C$33="Yes"), 1/((1/V12)+(1/AA12)+(1/AF12)))</f>
        <v>184.20711083530546</v>
      </c>
      <c r="Q12" s="6">
        <f t="shared" si="11"/>
        <v>3.3272727272727266E-2</v>
      </c>
      <c r="S12" s="53">
        <f t="shared" si="0"/>
        <v>265.25823848649225</v>
      </c>
      <c r="T12" s="54">
        <f t="shared" si="1"/>
        <v>8.6707957239078293E-8</v>
      </c>
      <c r="U12" s="55">
        <f t="shared" si="2"/>
        <v>0.03</v>
      </c>
      <c r="V12" s="56">
        <f t="shared" si="12"/>
        <v>265.25824009624426</v>
      </c>
      <c r="X12" s="53">
        <f t="shared" si="3"/>
        <v>602.85963292384599</v>
      </c>
      <c r="Y12" s="54">
        <f t="shared" si="4"/>
        <v>1.2252211349000193E-8</v>
      </c>
      <c r="Z12" s="56">
        <f t="shared" si="5"/>
        <v>1E-3</v>
      </c>
      <c r="AA12" s="56">
        <f t="shared" si="6"/>
        <v>0</v>
      </c>
      <c r="AC12" s="53">
        <f t="shared" si="7"/>
        <v>602.85963292384599</v>
      </c>
      <c r="AD12" s="54">
        <f t="shared" si="8"/>
        <v>1.2252211349000193E-8</v>
      </c>
      <c r="AE12" s="56">
        <f t="shared" si="9"/>
        <v>1E-3</v>
      </c>
      <c r="AF12" s="56">
        <f t="shared" si="10"/>
        <v>602.85963291242308</v>
      </c>
      <c r="AH12" s="42"/>
      <c r="AJ12" s="18"/>
    </row>
    <row r="13" spans="2:40" ht="16.5" x14ac:dyDescent="0.45">
      <c r="B13" s="2" t="s">
        <v>164</v>
      </c>
      <c r="C13" s="14">
        <f>C12*C9</f>
        <v>100</v>
      </c>
      <c r="D13" s="16" t="s">
        <v>8</v>
      </c>
      <c r="O13" s="49">
        <v>7</v>
      </c>
      <c r="P13" s="6" cm="1">
        <f t="array" ref="P13">_xlfn.IFS( AND($C$20="No",$C$33="Yes"), 1/((1/V13)+(1/AF13)), AND($C$20="Yes",$C$33="No"), 1/((1/V13)+(1/AA13)), AND($C$20="No",$C$33="No"), 1/((1/V13)), AND($C$20="Yes",$C$33="Yes"), 1/((1/V13)+(1/AA13)+(1/AF13)))</f>
        <v>157.89180952736035</v>
      </c>
      <c r="Q13" s="6">
        <f t="shared" si="11"/>
        <v>3.3272727272727266E-2</v>
      </c>
      <c r="S13" s="53">
        <f t="shared" si="0"/>
        <v>227.36420441699337</v>
      </c>
      <c r="T13" s="54">
        <f t="shared" si="1"/>
        <v>1.0115928344559134E-7</v>
      </c>
      <c r="U13" s="55">
        <f t="shared" si="2"/>
        <v>0.03</v>
      </c>
      <c r="V13" s="56">
        <f t="shared" si="12"/>
        <v>227.36420629503746</v>
      </c>
      <c r="X13" s="53">
        <f t="shared" si="3"/>
        <v>516.73682822043941</v>
      </c>
      <c r="Y13" s="54">
        <f t="shared" si="4"/>
        <v>1.4294246573833559E-8</v>
      </c>
      <c r="Z13" s="56">
        <f t="shared" si="5"/>
        <v>1E-3</v>
      </c>
      <c r="AA13" s="56">
        <f t="shared" si="6"/>
        <v>0</v>
      </c>
      <c r="AC13" s="53">
        <f t="shared" si="7"/>
        <v>516.73682822043941</v>
      </c>
      <c r="AD13" s="54">
        <f t="shared" si="8"/>
        <v>1.4294246573833559E-8</v>
      </c>
      <c r="AE13" s="56">
        <f t="shared" si="9"/>
        <v>1E-3</v>
      </c>
      <c r="AF13" s="56">
        <f t="shared" si="10"/>
        <v>516.73682820711269</v>
      </c>
      <c r="AH13" s="42"/>
      <c r="AJ13" s="18"/>
    </row>
    <row r="14" spans="2:40" ht="16.5" x14ac:dyDescent="0.45">
      <c r="B14" s="2" t="s">
        <v>165</v>
      </c>
      <c r="C14" s="7">
        <f>C10/C12</f>
        <v>30</v>
      </c>
      <c r="D14" s="6" t="s">
        <v>16</v>
      </c>
      <c r="O14" s="49">
        <v>8</v>
      </c>
      <c r="P14" s="6" cm="1">
        <f t="array" ref="P14">_xlfn.IFS( AND($C$20="No",$C$33="Yes"), 1/((1/V14)+(1/AF14)), AND($C$20="Yes",$C$33="No"), 1/((1/V14)+(1/AA14)), AND($C$20="No",$C$33="No"), 1/((1/V14)), AND($C$20="Yes",$C$33="Yes"), 1/((1/V14)+(1/AA14)+(1/AF14)))</f>
        <v>138.15533357870325</v>
      </c>
      <c r="Q14" s="6">
        <f t="shared" si="11"/>
        <v>3.3272727272727266E-2</v>
      </c>
      <c r="S14" s="53">
        <f t="shared" si="0"/>
        <v>198.94367886486918</v>
      </c>
      <c r="T14" s="54">
        <f t="shared" si="1"/>
        <v>1.1561060965210438E-7</v>
      </c>
      <c r="U14" s="55">
        <f t="shared" si="2"/>
        <v>0.03</v>
      </c>
      <c r="V14" s="56">
        <f t="shared" si="12"/>
        <v>198.94368101120526</v>
      </c>
      <c r="X14" s="53">
        <f t="shared" si="3"/>
        <v>452.14472469288449</v>
      </c>
      <c r="Y14" s="54">
        <f t="shared" si="4"/>
        <v>1.6336281798666924E-8</v>
      </c>
      <c r="Z14" s="56">
        <f t="shared" si="5"/>
        <v>1E-3</v>
      </c>
      <c r="AA14" s="56">
        <f t="shared" si="6"/>
        <v>0</v>
      </c>
      <c r="AC14" s="53">
        <f t="shared" si="7"/>
        <v>452.14472469288449</v>
      </c>
      <c r="AD14" s="54">
        <f t="shared" si="8"/>
        <v>1.6336281798666924E-8</v>
      </c>
      <c r="AE14" s="56">
        <f t="shared" si="9"/>
        <v>1E-3</v>
      </c>
      <c r="AF14" s="56">
        <f t="shared" si="10"/>
        <v>452.14472467765404</v>
      </c>
      <c r="AH14" s="42"/>
      <c r="AJ14" s="18"/>
    </row>
    <row r="15" spans="2:40" x14ac:dyDescent="0.35">
      <c r="B15" s="2" t="s">
        <v>159</v>
      </c>
      <c r="C15" s="5">
        <f>(1/(2*PI()*(SQRT(C9*0.000001*C11*0.000000001))))*0.000001</f>
        <v>0.33186099703093636</v>
      </c>
      <c r="D15" s="6" t="s">
        <v>83</v>
      </c>
      <c r="O15" s="49">
        <v>9</v>
      </c>
      <c r="P15" s="6" cm="1">
        <f t="array" ref="P15">_xlfn.IFS( AND($C$20="No",$C$33="Yes"), 1/((1/V15)+(1/AF15)), AND($C$20="Yes",$C$33="No"), 1/((1/V15)+(1/AA15)), AND($C$20="No",$C$33="No"), 1/((1/V15)), AND($C$20="Yes",$C$33="Yes"), 1/((1/V15)+(1/AA15)+(1/AF15)))</f>
        <v>122.80474120290482</v>
      </c>
      <c r="Q15" s="6">
        <f t="shared" si="11"/>
        <v>3.3272727272727266E-2</v>
      </c>
      <c r="S15" s="53">
        <f t="shared" si="0"/>
        <v>176.83882565766149</v>
      </c>
      <c r="T15" s="54">
        <f t="shared" si="1"/>
        <v>1.3006193585861744E-7</v>
      </c>
      <c r="U15" s="55">
        <f t="shared" si="2"/>
        <v>0.03</v>
      </c>
      <c r="V15" s="56">
        <f t="shared" si="12"/>
        <v>176.83882807228957</v>
      </c>
      <c r="X15" s="53">
        <f t="shared" si="3"/>
        <v>401.90642194923066</v>
      </c>
      <c r="Y15" s="54">
        <f t="shared" si="4"/>
        <v>1.837831702350029E-8</v>
      </c>
      <c r="Z15" s="56">
        <f t="shared" si="5"/>
        <v>1E-3</v>
      </c>
      <c r="AA15" s="56">
        <f t="shared" si="6"/>
        <v>0</v>
      </c>
      <c r="AC15" s="53">
        <f t="shared" si="7"/>
        <v>401.90642194923066</v>
      </c>
      <c r="AD15" s="54">
        <f t="shared" si="8"/>
        <v>1.837831702350029E-8</v>
      </c>
      <c r="AE15" s="56">
        <f t="shared" si="9"/>
        <v>1E-3</v>
      </c>
      <c r="AF15" s="56">
        <f t="shared" si="10"/>
        <v>401.90642193209641</v>
      </c>
      <c r="AH15" s="42"/>
      <c r="AJ15" s="18"/>
    </row>
    <row r="16" spans="2:40" x14ac:dyDescent="0.35">
      <c r="B16" s="1"/>
      <c r="O16" s="49">
        <v>10</v>
      </c>
      <c r="P16" s="6" cm="1">
        <f t="array" ref="P16">_xlfn.IFS( AND($C$20="No",$C$33="Yes"), 1/((1/V16)+(1/AF16)), AND($C$20="Yes",$C$33="No"), 1/((1/V16)+(1/AA16)), AND($C$20="No",$C$33="No"), 1/((1/V16)), AND($C$20="Yes",$C$33="Yes"), 1/((1/V16)+(1/AA16)+(1/AF16)))</f>
        <v>110.52426732810744</v>
      </c>
      <c r="Q16" s="6">
        <f t="shared" si="11"/>
        <v>3.3272727272727266E-2</v>
      </c>
      <c r="S16" s="53">
        <f t="shared" si="0"/>
        <v>159.15494309189535</v>
      </c>
      <c r="T16" s="54">
        <f t="shared" si="1"/>
        <v>1.4451326206513047E-7</v>
      </c>
      <c r="U16" s="55">
        <f t="shared" si="2"/>
        <v>0.03</v>
      </c>
      <c r="V16" s="56">
        <f t="shared" si="12"/>
        <v>159.15494577481547</v>
      </c>
      <c r="X16" s="53">
        <f t="shared" si="3"/>
        <v>361.71577975430756</v>
      </c>
      <c r="Y16" s="54">
        <f t="shared" si="4"/>
        <v>2.0420352248333655E-8</v>
      </c>
      <c r="Z16" s="56">
        <f t="shared" si="5"/>
        <v>1E-3</v>
      </c>
      <c r="AA16" s="56">
        <f t="shared" si="6"/>
        <v>0</v>
      </c>
      <c r="AC16" s="53">
        <f t="shared" si="7"/>
        <v>361.71577975430756</v>
      </c>
      <c r="AD16" s="54">
        <f t="shared" si="8"/>
        <v>2.0420352248333655E-8</v>
      </c>
      <c r="AE16" s="56">
        <f t="shared" si="9"/>
        <v>1E-3</v>
      </c>
      <c r="AF16" s="56">
        <f t="shared" si="10"/>
        <v>361.71577973526945</v>
      </c>
      <c r="AH16" s="42"/>
      <c r="AJ16" s="18"/>
    </row>
    <row r="17" spans="2:36" x14ac:dyDescent="0.35">
      <c r="B17" s="1"/>
      <c r="O17" s="49">
        <v>20</v>
      </c>
      <c r="P17" s="6" cm="1">
        <f t="array" ref="P17">_xlfn.IFS( AND($C$20="No",$C$33="Yes"), 1/((1/V17)+(1/AF17)), AND($C$20="Yes",$C$33="No"), 1/((1/V17)+(1/AA17)), AND($C$20="No",$C$33="No"), 1/((1/V17)), AND($C$20="Yes",$C$33="Yes"), 1/((1/V17)+(1/AA17)+(1/AF17)))</f>
        <v>55.262135602157151</v>
      </c>
      <c r="Q17" s="6">
        <f t="shared" si="11"/>
        <v>3.3272727272727266E-2</v>
      </c>
      <c r="S17" s="53">
        <f t="shared" si="0"/>
        <v>79.577471545947674</v>
      </c>
      <c r="T17" s="54">
        <f t="shared" si="1"/>
        <v>2.8902652413026094E-7</v>
      </c>
      <c r="U17" s="55">
        <f t="shared" si="2"/>
        <v>0.03</v>
      </c>
      <c r="V17" s="56">
        <f t="shared" si="12"/>
        <v>79.577476911787741</v>
      </c>
      <c r="X17" s="53">
        <f t="shared" si="3"/>
        <v>180.85788987715378</v>
      </c>
      <c r="Y17" s="54">
        <f t="shared" si="4"/>
        <v>4.0840704496667311E-8</v>
      </c>
      <c r="Z17" s="56">
        <f t="shared" si="5"/>
        <v>1E-3</v>
      </c>
      <c r="AA17" s="56">
        <f t="shared" si="6"/>
        <v>0</v>
      </c>
      <c r="AC17" s="53">
        <f t="shared" si="7"/>
        <v>180.85788987715378</v>
      </c>
      <c r="AD17" s="54">
        <f t="shared" si="8"/>
        <v>4.0840704496667311E-8</v>
      </c>
      <c r="AE17" s="56">
        <f t="shared" si="9"/>
        <v>1E-3</v>
      </c>
      <c r="AF17" s="56">
        <f t="shared" si="10"/>
        <v>180.85788983907767</v>
      </c>
      <c r="AH17" s="42"/>
      <c r="AJ17" s="18"/>
    </row>
    <row r="18" spans="2:36" x14ac:dyDescent="0.35">
      <c r="B18" s="1"/>
      <c r="O18" s="49">
        <v>30</v>
      </c>
      <c r="P18" s="6" cm="1">
        <f t="array" ref="P18">_xlfn.IFS( AND($C$20="No",$C$33="Yes"), 1/((1/V18)+(1/AF18)), AND($C$20="Yes",$C$33="No"), 1/((1/V18)+(1/AA18)), AND($C$20="No",$C$33="No"), 1/((1/V18)), AND($C$20="Yes",$C$33="Yes"), 1/((1/V18)+(1/AA18)+(1/AF18)))</f>
        <v>36.841425888219455</v>
      </c>
      <c r="Q18" s="6">
        <f t="shared" si="11"/>
        <v>3.3272727272727266E-2</v>
      </c>
      <c r="S18" s="53">
        <f t="shared" si="0"/>
        <v>53.051647697298449</v>
      </c>
      <c r="T18" s="54">
        <f t="shared" si="1"/>
        <v>4.3353978619539141E-7</v>
      </c>
      <c r="U18" s="55">
        <f t="shared" si="2"/>
        <v>0.03</v>
      </c>
      <c r="V18" s="56">
        <f t="shared" si="12"/>
        <v>53.051655746058216</v>
      </c>
      <c r="W18" s="18"/>
      <c r="X18" s="53">
        <f t="shared" si="3"/>
        <v>120.57192658476922</v>
      </c>
      <c r="Y18" s="54">
        <f t="shared" si="4"/>
        <v>6.126105674500096E-8</v>
      </c>
      <c r="Z18" s="56">
        <f t="shared" si="5"/>
        <v>1E-3</v>
      </c>
      <c r="AA18" s="56">
        <f t="shared" si="6"/>
        <v>0</v>
      </c>
      <c r="AC18" s="53">
        <f t="shared" si="7"/>
        <v>120.57192658476922</v>
      </c>
      <c r="AD18" s="54">
        <f t="shared" si="8"/>
        <v>6.126105674500096E-8</v>
      </c>
      <c r="AE18" s="56">
        <f t="shared" si="9"/>
        <v>1E-3</v>
      </c>
      <c r="AF18" s="56">
        <f t="shared" si="10"/>
        <v>120.57192652765505</v>
      </c>
      <c r="AH18" s="42"/>
      <c r="AJ18" s="18"/>
    </row>
    <row r="19" spans="2:36" x14ac:dyDescent="0.35">
      <c r="B19" s="1"/>
      <c r="O19" s="49">
        <v>40</v>
      </c>
      <c r="P19" s="6" cm="1">
        <f t="array" ref="P19">_xlfn.IFS( AND($C$20="No",$C$33="Yes"), 1/((1/V19)+(1/AF19)), AND($C$20="Yes",$C$33="No"), 1/((1/V19)+(1/AA19)), AND($C$20="No",$C$33="No"), 1/((1/V19)), AND($C$20="Yes",$C$33="Yes"), 1/((1/V19)+(1/AA19)+(1/AF19)))</f>
        <v>27.631071677284638</v>
      </c>
      <c r="Q19" s="6">
        <f t="shared" si="11"/>
        <v>3.3272727272727266E-2</v>
      </c>
      <c r="S19" s="53">
        <f t="shared" si="0"/>
        <v>39.788735772973837</v>
      </c>
      <c r="T19" s="54">
        <f t="shared" si="1"/>
        <v>5.7805304826052188E-7</v>
      </c>
      <c r="U19" s="55">
        <f t="shared" si="2"/>
        <v>0.03</v>
      </c>
      <c r="V19" s="56">
        <f t="shared" si="12"/>
        <v>39.788746504652899</v>
      </c>
      <c r="W19" s="18"/>
      <c r="X19" s="53">
        <f t="shared" si="3"/>
        <v>90.42894493857689</v>
      </c>
      <c r="Y19" s="54">
        <f t="shared" si="4"/>
        <v>8.1681408993334622E-8</v>
      </c>
      <c r="Z19" s="56">
        <f t="shared" si="5"/>
        <v>1E-3</v>
      </c>
      <c r="AA19" s="56">
        <f t="shared" si="6"/>
        <v>0</v>
      </c>
      <c r="AC19" s="53">
        <f t="shared" si="7"/>
        <v>90.42894493857689</v>
      </c>
      <c r="AD19" s="54">
        <f t="shared" si="8"/>
        <v>8.1681408993334622E-8</v>
      </c>
      <c r="AE19" s="56">
        <f t="shared" si="9"/>
        <v>1E-3</v>
      </c>
      <c r="AF19" s="56">
        <f t="shared" si="10"/>
        <v>90.428944862424686</v>
      </c>
      <c r="AH19" s="42"/>
      <c r="AJ19" s="18"/>
    </row>
    <row r="20" spans="2:36" ht="16.5" x14ac:dyDescent="0.45">
      <c r="B20" s="2" t="s">
        <v>174</v>
      </c>
      <c r="C20" s="3" t="s">
        <v>37</v>
      </c>
      <c r="O20" s="49">
        <v>50</v>
      </c>
      <c r="P20" s="6" cm="1">
        <f t="array" ref="P20">_xlfn.IFS( AND($C$20="No",$C$33="Yes"), 1/((1/V20)+(1/AF20)), AND($C$20="Yes",$C$33="No"), 1/((1/V20)+(1/AA20)), AND($C$20="No",$C$33="No"), 1/((1/V20)), AND($C$20="Yes",$C$33="Yes"), 1/((1/V20)+(1/AA20)+(1/AF20)))</f>
        <v>22.104859667550684</v>
      </c>
      <c r="Q20" s="6">
        <f t="shared" si="11"/>
        <v>3.3272727272727266E-2</v>
      </c>
      <c r="S20" s="53">
        <f t="shared" si="0"/>
        <v>31.830988618379067</v>
      </c>
      <c r="T20" s="54">
        <f t="shared" si="1"/>
        <v>7.2256631032565246E-7</v>
      </c>
      <c r="U20" s="55">
        <f t="shared" si="2"/>
        <v>0.03</v>
      </c>
      <c r="V20" s="56">
        <f t="shared" si="12"/>
        <v>31.83100203297688</v>
      </c>
      <c r="W20" s="18"/>
      <c r="X20" s="53">
        <f t="shared" si="3"/>
        <v>72.343155950861515</v>
      </c>
      <c r="Y20" s="54">
        <f t="shared" si="4"/>
        <v>1.0210176124166828E-7</v>
      </c>
      <c r="Z20" s="56">
        <f t="shared" si="5"/>
        <v>1E-3</v>
      </c>
      <c r="AA20" s="56">
        <f t="shared" si="6"/>
        <v>0</v>
      </c>
      <c r="AC20" s="53">
        <f t="shared" si="7"/>
        <v>72.343155950861515</v>
      </c>
      <c r="AD20" s="54">
        <f t="shared" si="8"/>
        <v>1.0210176124166828E-7</v>
      </c>
      <c r="AE20" s="56">
        <f t="shared" si="9"/>
        <v>1E-3</v>
      </c>
      <c r="AF20" s="56">
        <f t="shared" si="10"/>
        <v>72.343155855671256</v>
      </c>
      <c r="AH20" s="42"/>
      <c r="AJ20" s="18"/>
    </row>
    <row r="21" spans="2:36" x14ac:dyDescent="0.35">
      <c r="B21" s="2" t="s">
        <v>181</v>
      </c>
      <c r="C21" s="3">
        <v>22</v>
      </c>
      <c r="D21" s="16" t="s">
        <v>8</v>
      </c>
      <c r="O21" s="49">
        <v>60</v>
      </c>
      <c r="P21" s="6" cm="1">
        <f t="array" ref="P21">_xlfn.IFS( AND($C$20="No",$C$33="Yes"), 1/((1/V21)+(1/AF21)), AND($C$20="Yes",$C$33="No"), 1/((1/V21)+(1/AA21)), AND($C$20="No",$C$33="No"), 1/((1/V21)), AND($C$20="Yes",$C$33="Yes"), 1/((1/V21)+(1/AA21)+(1/AF21)))</f>
        <v>18.420718758416847</v>
      </c>
      <c r="Q21" s="6">
        <f t="shared" si="11"/>
        <v>3.3272727272727266E-2</v>
      </c>
      <c r="S21" s="53">
        <f t="shared" si="0"/>
        <v>26.525823848649225</v>
      </c>
      <c r="T21" s="54">
        <f t="shared" si="1"/>
        <v>8.6707957239078282E-7</v>
      </c>
      <c r="U21" s="55">
        <f t="shared" si="2"/>
        <v>0.03</v>
      </c>
      <c r="V21" s="56">
        <f t="shared" si="12"/>
        <v>26.525839946165114</v>
      </c>
      <c r="W21" s="18"/>
      <c r="X21" s="53">
        <f t="shared" si="3"/>
        <v>60.285963292384608</v>
      </c>
      <c r="Y21" s="54">
        <f t="shared" si="4"/>
        <v>1.2252211349000192E-7</v>
      </c>
      <c r="Z21" s="56">
        <f t="shared" si="5"/>
        <v>1E-3</v>
      </c>
      <c r="AA21" s="56">
        <f t="shared" si="6"/>
        <v>0</v>
      </c>
      <c r="AC21" s="53">
        <f t="shared" si="7"/>
        <v>60.285963292384608</v>
      </c>
      <c r="AD21" s="54">
        <f t="shared" si="8"/>
        <v>1.2252211349000192E-7</v>
      </c>
      <c r="AE21" s="56">
        <f t="shared" si="9"/>
        <v>1E-3</v>
      </c>
      <c r="AF21" s="56">
        <f t="shared" si="10"/>
        <v>60.285963178156294</v>
      </c>
      <c r="AH21" s="42"/>
      <c r="AJ21" s="18"/>
    </row>
    <row r="22" spans="2:36" x14ac:dyDescent="0.35">
      <c r="B22" s="2" t="s">
        <v>175</v>
      </c>
      <c r="C22" s="3">
        <v>2</v>
      </c>
      <c r="D22" s="6" t="s">
        <v>16</v>
      </c>
      <c r="O22" s="49">
        <v>70</v>
      </c>
      <c r="P22" s="6" cm="1">
        <f t="array" ref="P22">_xlfn.IFS( AND($C$20="No",$C$33="Yes"), 1/((1/V22)+(1/AF22)), AND($C$20="Yes",$C$33="No"), 1/((1/V22)+(1/AA22)), AND($C$20="No",$C$33="No"), 1/((1/V22)), AND($C$20="Yes",$C$33="Yes"), 1/((1/V22)+(1/AA22)+(1/AF22)))</f>
        <v>15.789189906768449</v>
      </c>
      <c r="Q22" s="6">
        <f t="shared" si="11"/>
        <v>3.3272727272727266E-2</v>
      </c>
      <c r="S22" s="53">
        <f t="shared" si="0"/>
        <v>22.736420441699334</v>
      </c>
      <c r="T22" s="54">
        <f t="shared" si="1"/>
        <v>1.0115928344559134E-6</v>
      </c>
      <c r="U22" s="55">
        <f t="shared" si="2"/>
        <v>0.03</v>
      </c>
      <c r="V22" s="56">
        <f t="shared" si="12"/>
        <v>22.736439222132482</v>
      </c>
      <c r="W22" s="18"/>
      <c r="X22" s="53">
        <f t="shared" si="3"/>
        <v>51.673682822043943</v>
      </c>
      <c r="Y22" s="54">
        <f t="shared" si="4"/>
        <v>1.4294246573833559E-7</v>
      </c>
      <c r="Z22" s="56">
        <f t="shared" si="5"/>
        <v>1E-3</v>
      </c>
      <c r="AA22" s="56">
        <f t="shared" si="6"/>
        <v>0</v>
      </c>
      <c r="AC22" s="53">
        <f t="shared" si="7"/>
        <v>51.673682822043943</v>
      </c>
      <c r="AD22" s="54">
        <f t="shared" si="8"/>
        <v>1.4294246573833559E-7</v>
      </c>
      <c r="AE22" s="56">
        <f t="shared" si="9"/>
        <v>1E-3</v>
      </c>
      <c r="AF22" s="56">
        <f t="shared" si="10"/>
        <v>51.673682688777582</v>
      </c>
      <c r="AH22" s="42"/>
      <c r="AJ22" s="18"/>
    </row>
    <row r="23" spans="2:36" x14ac:dyDescent="0.35">
      <c r="B23" s="2" t="s">
        <v>176</v>
      </c>
      <c r="C23" s="3">
        <v>0.65</v>
      </c>
      <c r="D23" s="6" t="s">
        <v>5</v>
      </c>
      <c r="O23" s="49">
        <v>80</v>
      </c>
      <c r="P23" s="6" cm="1">
        <f t="array" ref="P23">_xlfn.IFS( AND($C$20="No",$C$33="Yes"), 1/((1/V23)+(1/AF23)), AND($C$20="Yes",$C$33="No"), 1/((1/V23)+(1/AA23)), AND($C$20="No",$C$33="No"), 1/((1/V23)), AND($C$20="Yes",$C$33="Yes"), 1/((1/V23)+(1/AA23)+(1/AF23)))</f>
        <v>13.815543591048113</v>
      </c>
      <c r="Q23" s="6">
        <f t="shared" si="11"/>
        <v>3.3272727272727266E-2</v>
      </c>
      <c r="S23" s="53">
        <f t="shared" si="0"/>
        <v>19.894367886486918</v>
      </c>
      <c r="T23" s="54">
        <f t="shared" si="1"/>
        <v>1.1561060965210438E-6</v>
      </c>
      <c r="U23" s="55">
        <f t="shared" si="2"/>
        <v>0.03</v>
      </c>
      <c r="V23" s="56">
        <f t="shared" si="12"/>
        <v>19.894389349836381</v>
      </c>
      <c r="W23" s="18"/>
      <c r="X23" s="53">
        <f t="shared" si="3"/>
        <v>45.214472469288445</v>
      </c>
      <c r="Y23" s="54">
        <f t="shared" si="4"/>
        <v>1.6336281798666924E-7</v>
      </c>
      <c r="Z23" s="56">
        <f t="shared" si="5"/>
        <v>1E-3</v>
      </c>
      <c r="AA23" s="56">
        <f t="shared" si="6"/>
        <v>0</v>
      </c>
      <c r="AC23" s="53">
        <f t="shared" si="7"/>
        <v>45.214472469288445</v>
      </c>
      <c r="AD23" s="54">
        <f t="shared" si="8"/>
        <v>1.6336281798666924E-7</v>
      </c>
      <c r="AE23" s="56">
        <f t="shared" si="9"/>
        <v>1E-3</v>
      </c>
      <c r="AF23" s="56">
        <f t="shared" si="10"/>
        <v>45.214472316984029</v>
      </c>
      <c r="AH23" s="42"/>
      <c r="AJ23" s="18"/>
    </row>
    <row r="24" spans="2:36" x14ac:dyDescent="0.35">
      <c r="B24" s="2" t="s">
        <v>158</v>
      </c>
      <c r="C24" s="3">
        <v>2</v>
      </c>
      <c r="D24" s="6"/>
      <c r="O24" s="49">
        <v>90</v>
      </c>
      <c r="P24" s="6" cm="1">
        <f t="array" ref="P24">_xlfn.IFS( AND($C$20="No",$C$33="Yes"), 1/((1/V24)+(1/AF24)), AND($C$20="Yes",$C$33="No"), 1/((1/V24)+(1/AA24)), AND($C$20="No",$C$33="No"), 1/((1/V24)), AND($C$20="Yes",$C$33="Yes"), 1/((1/V24)+(1/AA24)+(1/AF24)))</f>
        <v>12.280485632612804</v>
      </c>
      <c r="Q24" s="6">
        <f t="shared" si="11"/>
        <v>3.3272727272727266E-2</v>
      </c>
      <c r="S24" s="53">
        <f t="shared" si="0"/>
        <v>17.683882565766147</v>
      </c>
      <c r="T24" s="54">
        <f t="shared" si="1"/>
        <v>1.3006193585861743E-6</v>
      </c>
      <c r="U24" s="55">
        <f t="shared" si="2"/>
        <v>0.03</v>
      </c>
      <c r="V24" s="56">
        <f t="shared" si="12"/>
        <v>17.683906712030844</v>
      </c>
      <c r="W24" s="18"/>
      <c r="X24" s="53">
        <f t="shared" si="3"/>
        <v>40.190642194923065</v>
      </c>
      <c r="Y24" s="54">
        <f t="shared" si="4"/>
        <v>1.8378317023500292E-7</v>
      </c>
      <c r="Z24" s="56">
        <f t="shared" si="5"/>
        <v>1E-3</v>
      </c>
      <c r="AA24" s="56">
        <f t="shared" si="6"/>
        <v>0</v>
      </c>
      <c r="AC24" s="53">
        <f t="shared" si="7"/>
        <v>40.190642194923065</v>
      </c>
      <c r="AD24" s="54">
        <f t="shared" si="8"/>
        <v>1.8378317023500292E-7</v>
      </c>
      <c r="AE24" s="56">
        <f t="shared" si="9"/>
        <v>1E-3</v>
      </c>
      <c r="AF24" s="56">
        <f t="shared" si="10"/>
        <v>40.190642023580601</v>
      </c>
      <c r="AH24" s="42"/>
      <c r="AJ24" s="18"/>
    </row>
    <row r="25" spans="2:36" x14ac:dyDescent="0.35">
      <c r="B25" s="2" t="s">
        <v>177</v>
      </c>
      <c r="C25" s="14">
        <f>C24*C21</f>
        <v>44</v>
      </c>
      <c r="D25" s="16" t="s">
        <v>8</v>
      </c>
      <c r="O25" s="49">
        <v>100</v>
      </c>
      <c r="P25" s="6" cm="1">
        <f t="array" ref="P25">_xlfn.IFS( AND($C$20="No",$C$33="Yes"), 1/((1/V25)+(1/AF25)), AND($C$20="Yes",$C$33="No"), 1/((1/V25)+(1/AA25)), AND($C$20="No",$C$33="No"), 1/((1/V25)), AND($C$20="Yes",$C$33="Yes"), 1/((1/V25)+(1/AA25)+(1/AF25)))</f>
        <v>11.052439524276654</v>
      </c>
      <c r="Q25" s="6">
        <f t="shared" si="11"/>
        <v>3.3272727272727266E-2</v>
      </c>
      <c r="S25" s="53">
        <f t="shared" si="0"/>
        <v>15.915494309189533</v>
      </c>
      <c r="T25" s="54">
        <f t="shared" si="1"/>
        <v>1.4451326206513049E-6</v>
      </c>
      <c r="U25" s="55">
        <f t="shared" si="2"/>
        <v>0.03</v>
      </c>
      <c r="V25" s="56">
        <f t="shared" si="12"/>
        <v>15.915521138368248</v>
      </c>
      <c r="W25" s="18"/>
      <c r="X25" s="53">
        <f t="shared" si="3"/>
        <v>36.171577975430758</v>
      </c>
      <c r="Y25" s="54">
        <f t="shared" si="4"/>
        <v>2.0420352248333657E-7</v>
      </c>
      <c r="Z25" s="56">
        <f t="shared" si="5"/>
        <v>1E-3</v>
      </c>
      <c r="AA25" s="56">
        <f t="shared" si="6"/>
        <v>0</v>
      </c>
      <c r="AC25" s="53">
        <f t="shared" si="7"/>
        <v>36.171577975430758</v>
      </c>
      <c r="AD25" s="54">
        <f t="shared" si="8"/>
        <v>2.0420352248333657E-7</v>
      </c>
      <c r="AE25" s="56">
        <f t="shared" si="9"/>
        <v>1E-3</v>
      </c>
      <c r="AF25" s="56">
        <f t="shared" si="10"/>
        <v>36.171577785050239</v>
      </c>
      <c r="AH25" s="42"/>
      <c r="AJ25" s="18"/>
    </row>
    <row r="26" spans="2:36" x14ac:dyDescent="0.35">
      <c r="B26" s="2" t="s">
        <v>178</v>
      </c>
      <c r="C26" s="5">
        <f>C22/C24</f>
        <v>1</v>
      </c>
      <c r="D26" s="6" t="s">
        <v>16</v>
      </c>
      <c r="O26" s="49">
        <v>200</v>
      </c>
      <c r="P26" s="6" cm="1">
        <f t="array" ref="P26">_xlfn.IFS( AND($C$20="No",$C$33="Yes"), 1/((1/V26)+(1/AF26)), AND($C$20="Yes",$C$33="No"), 1/((1/V26)+(1/AA26)), AND($C$20="No",$C$33="No"), 1/((1/V26)), AND($C$20="Yes",$C$33="Yes"), 1/((1/V26)+(1/AA26)+(1/AF26)))</f>
        <v>5.5262391430420656</v>
      </c>
      <c r="Q26" s="6">
        <f t="shared" si="11"/>
        <v>3.3272727272727266E-2</v>
      </c>
      <c r="S26" s="53">
        <f t="shared" si="0"/>
        <v>7.9577471545947667</v>
      </c>
      <c r="T26" s="54">
        <f t="shared" si="1"/>
        <v>2.8902652413026098E-6</v>
      </c>
      <c r="U26" s="55">
        <f t="shared" si="2"/>
        <v>0.03</v>
      </c>
      <c r="V26" s="56">
        <f t="shared" si="12"/>
        <v>7.9578008128169087</v>
      </c>
      <c r="W26" s="18"/>
      <c r="X26" s="53">
        <f t="shared" si="3"/>
        <v>18.085788987715379</v>
      </c>
      <c r="Y26" s="54">
        <f t="shared" si="4"/>
        <v>4.0840704496667313E-7</v>
      </c>
      <c r="Z26" s="56">
        <f t="shared" si="5"/>
        <v>1E-3</v>
      </c>
      <c r="AA26" s="56">
        <f t="shared" si="6"/>
        <v>0</v>
      </c>
      <c r="AC26" s="53">
        <f t="shared" si="7"/>
        <v>18.085788987715379</v>
      </c>
      <c r="AD26" s="54">
        <f t="shared" si="8"/>
        <v>4.0840704496667313E-7</v>
      </c>
      <c r="AE26" s="56">
        <f t="shared" si="9"/>
        <v>1E-3</v>
      </c>
      <c r="AF26" s="56">
        <f t="shared" si="10"/>
        <v>18.085788606954353</v>
      </c>
      <c r="AH26" s="42"/>
      <c r="AJ26" s="18"/>
    </row>
    <row r="27" spans="2:36" x14ac:dyDescent="0.35">
      <c r="B27" s="2" t="s">
        <v>179</v>
      </c>
      <c r="C27" s="5">
        <f>C23/C24</f>
        <v>0.32500000000000001</v>
      </c>
      <c r="D27" s="6" t="s">
        <v>5</v>
      </c>
      <c r="O27" s="49">
        <v>300</v>
      </c>
      <c r="P27" s="6" cm="1">
        <f t="array" ref="P27">_xlfn.IFS( AND($C$20="No",$C$33="Yes"), 1/((1/V27)+(1/AF27)), AND($C$20="Yes",$C$33="No"), 1/((1/V27)+(1/AA27)), AND($C$20="No",$C$33="No"), 1/((1/V27)), AND($C$20="Yes",$C$33="Yes"), 1/((1/V27)+(1/AA27)+(1/AF27)))</f>
        <v>3.6841809627978064</v>
      </c>
      <c r="Q27" s="6">
        <f t="shared" si="11"/>
        <v>3.3272727272727266E-2</v>
      </c>
      <c r="S27" s="53">
        <f t="shared" si="0"/>
        <v>5.3051647697298447</v>
      </c>
      <c r="T27" s="54">
        <f t="shared" si="1"/>
        <v>4.3353978619539139E-6</v>
      </c>
      <c r="U27" s="55">
        <f t="shared" si="2"/>
        <v>0.03</v>
      </c>
      <c r="V27" s="56">
        <f t="shared" si="12"/>
        <v>5.3052452567248496</v>
      </c>
      <c r="W27" s="18"/>
      <c r="X27" s="53">
        <f t="shared" si="3"/>
        <v>12.057192658476922</v>
      </c>
      <c r="Y27" s="54">
        <f t="shared" si="4"/>
        <v>6.1261056745000973E-7</v>
      </c>
      <c r="Z27" s="56">
        <f t="shared" si="5"/>
        <v>1E-3</v>
      </c>
      <c r="AA27" s="56">
        <f t="shared" si="6"/>
        <v>0</v>
      </c>
      <c r="AC27" s="53">
        <f t="shared" si="7"/>
        <v>12.057192658476922</v>
      </c>
      <c r="AD27" s="54">
        <f t="shared" si="8"/>
        <v>6.1261056745000973E-7</v>
      </c>
      <c r="AE27" s="56">
        <f t="shared" si="9"/>
        <v>1E-3</v>
      </c>
      <c r="AF27" s="56">
        <f t="shared" si="10"/>
        <v>12.05719208733538</v>
      </c>
      <c r="AH27" s="42"/>
      <c r="AJ27" s="18"/>
    </row>
    <row r="28" spans="2:36" x14ac:dyDescent="0.35">
      <c r="B28" s="2" t="s">
        <v>180</v>
      </c>
      <c r="C28" s="5">
        <f>(1/(2*PI()*(SQRT(C21*0.000001*C23*0.000000001))))*0.000001</f>
        <v>1.330920495137307</v>
      </c>
      <c r="D28" s="6" t="s">
        <v>83</v>
      </c>
      <c r="H28" s="6"/>
      <c r="I28" s="2" t="s">
        <v>74</v>
      </c>
      <c r="J28" s="2" t="s">
        <v>75</v>
      </c>
      <c r="K28" s="2" t="s">
        <v>76</v>
      </c>
      <c r="L28" s="2" t="s">
        <v>77</v>
      </c>
      <c r="O28" s="49">
        <v>400</v>
      </c>
      <c r="P28" s="6" cm="1">
        <f t="array" ref="P28">_xlfn.IFS( AND($C$20="No",$C$33="Yes"), 1/((1/V28)+(1/AF28)), AND($C$20="Yes",$C$33="No"), 1/((1/V28)+(1/AA28)), AND($C$20="No",$C$33="No"), 1/((1/V28)), AND($C$20="Yes",$C$33="Yes"), 1/((1/V28)+(1/AA28)+(1/AF28)))</f>
        <v>2.7631583325374502</v>
      </c>
      <c r="Q28" s="6">
        <f t="shared" si="11"/>
        <v>3.3272727272727266E-2</v>
      </c>
      <c r="S28" s="53">
        <f t="shared" si="0"/>
        <v>3.9788735772973833</v>
      </c>
      <c r="T28" s="54">
        <f t="shared" si="1"/>
        <v>5.7805304826052197E-6</v>
      </c>
      <c r="U28" s="55">
        <f t="shared" si="2"/>
        <v>0.03</v>
      </c>
      <c r="V28" s="56">
        <f t="shared" si="12"/>
        <v>3.9789808926594117</v>
      </c>
      <c r="W28" s="18"/>
      <c r="X28" s="53">
        <f t="shared" si="3"/>
        <v>9.0428944938576894</v>
      </c>
      <c r="Y28" s="54">
        <f t="shared" si="4"/>
        <v>8.1681408993334627E-7</v>
      </c>
      <c r="Z28" s="56">
        <f t="shared" si="5"/>
        <v>1E-3</v>
      </c>
      <c r="AA28" s="56">
        <f t="shared" si="6"/>
        <v>0</v>
      </c>
      <c r="AC28" s="53">
        <f t="shared" si="7"/>
        <v>9.0428944938576894</v>
      </c>
      <c r="AD28" s="54">
        <f t="shared" si="8"/>
        <v>8.1681408993334627E-7</v>
      </c>
      <c r="AE28" s="56">
        <f t="shared" si="9"/>
        <v>1E-3</v>
      </c>
      <c r="AF28" s="56">
        <f t="shared" si="10"/>
        <v>9.0428937323356351</v>
      </c>
      <c r="AH28" s="42"/>
      <c r="AJ28" s="18"/>
    </row>
    <row r="29" spans="2:36" x14ac:dyDescent="0.35">
      <c r="B29" s="1"/>
      <c r="H29" s="2" t="s">
        <v>78</v>
      </c>
      <c r="I29" s="6">
        <f>C9</f>
        <v>100</v>
      </c>
      <c r="J29" s="6">
        <f>IF($C$20="Yes", C21, 0)</f>
        <v>0</v>
      </c>
      <c r="K29" s="6">
        <f>IF($C$33="Yes", C34, 0)</f>
        <v>22</v>
      </c>
      <c r="L29" s="6">
        <f>I29*$I$32+J29*$J$32+K29*$K$32</f>
        <v>144</v>
      </c>
      <c r="O29" s="49">
        <v>500</v>
      </c>
      <c r="P29" s="6" cm="1">
        <f t="array" ref="P29">_xlfn.IFS( AND($C$20="No",$C$33="Yes"), 1/((1/V29)+(1/AF29)), AND($C$20="Yes",$C$33="No"), 1/((1/V29)+(1/AA29)), AND($C$20="No",$C$33="No"), 1/((1/V29)), AND($C$20="Yes",$C$33="Yes"), 1/((1/V29)+(1/AA29)+(1/AF29)))</f>
        <v>2.2105499219753506</v>
      </c>
      <c r="Q29" s="6">
        <f t="shared" si="11"/>
        <v>3.3272727272727266E-2</v>
      </c>
      <c r="S29" s="53">
        <f t="shared" si="0"/>
        <v>3.1830988618379075</v>
      </c>
      <c r="T29" s="54">
        <f t="shared" si="1"/>
        <v>7.2256631032565237E-6</v>
      </c>
      <c r="U29" s="55">
        <f t="shared" si="2"/>
        <v>0.03</v>
      </c>
      <c r="V29" s="56">
        <f t="shared" si="12"/>
        <v>3.1832330050258637</v>
      </c>
      <c r="W29" s="18"/>
      <c r="X29" s="53">
        <f t="shared" si="3"/>
        <v>7.2343155950861533</v>
      </c>
      <c r="Y29" s="54">
        <f t="shared" si="4"/>
        <v>1.0210176124166828E-6</v>
      </c>
      <c r="Z29" s="56">
        <f t="shared" si="5"/>
        <v>1E-3</v>
      </c>
      <c r="AA29" s="56">
        <f t="shared" si="6"/>
        <v>0</v>
      </c>
      <c r="AC29" s="53">
        <f t="shared" si="7"/>
        <v>7.2343155950861533</v>
      </c>
      <c r="AD29" s="54">
        <f t="shared" si="8"/>
        <v>1.0210176124166828E-6</v>
      </c>
      <c r="AE29" s="56">
        <f t="shared" si="9"/>
        <v>1E-3</v>
      </c>
      <c r="AF29" s="56">
        <f t="shared" si="10"/>
        <v>7.2343146431835885</v>
      </c>
      <c r="AH29" s="42"/>
      <c r="AJ29" s="18"/>
    </row>
    <row r="30" spans="2:36" x14ac:dyDescent="0.35">
      <c r="B30" s="1"/>
      <c r="H30" s="2" t="s">
        <v>79</v>
      </c>
      <c r="I30" s="6">
        <f>C10</f>
        <v>30</v>
      </c>
      <c r="J30" s="6">
        <f>IF($C$20="Yes", C22, 0)</f>
        <v>0</v>
      </c>
      <c r="K30" s="6">
        <f>IF($C$33="Yes", C35, 0)</f>
        <v>2</v>
      </c>
      <c r="L30" s="6"/>
      <c r="O30" s="49">
        <v>600</v>
      </c>
      <c r="P30" s="6" cm="1">
        <f t="array" ref="P30">_xlfn.IFS( AND($C$20="No",$C$33="Yes"), 1/((1/V30)+(1/AF30)), AND($C$20="Yes",$C$33="No"), 1/((1/V30)+(1/AA30)), AND($C$20="No",$C$33="No"), 1/((1/V30)), AND($C$20="Yes",$C$33="Yes"), 1/((1/V30)+(1/AA30)+(1/AF30)))</f>
        <v>1.8421486209460052</v>
      </c>
      <c r="Q30" s="6">
        <f t="shared" si="11"/>
        <v>3.3272727272727266E-2</v>
      </c>
      <c r="S30" s="53">
        <f t="shared" si="0"/>
        <v>2.6525823848649224</v>
      </c>
      <c r="T30" s="54">
        <f t="shared" si="1"/>
        <v>8.6707957239078278E-6</v>
      </c>
      <c r="U30" s="55">
        <f t="shared" si="2"/>
        <v>0.03</v>
      </c>
      <c r="V30" s="56">
        <f t="shared" si="12"/>
        <v>2.6527433552024706</v>
      </c>
      <c r="W30" s="18"/>
      <c r="X30" s="53">
        <f t="shared" si="3"/>
        <v>6.0285963292384608</v>
      </c>
      <c r="Y30" s="54">
        <f t="shared" si="4"/>
        <v>1.2252211349000195E-6</v>
      </c>
      <c r="Z30" s="56">
        <f t="shared" si="5"/>
        <v>1E-3</v>
      </c>
      <c r="AA30" s="56">
        <f t="shared" si="6"/>
        <v>0</v>
      </c>
      <c r="AC30" s="53">
        <f t="shared" si="7"/>
        <v>6.0285963292384608</v>
      </c>
      <c r="AD30" s="54">
        <f t="shared" si="8"/>
        <v>1.2252211349000195E-6</v>
      </c>
      <c r="AE30" s="56">
        <f t="shared" si="9"/>
        <v>1E-3</v>
      </c>
      <c r="AF30" s="56">
        <f t="shared" si="10"/>
        <v>6.0285951869553882</v>
      </c>
      <c r="AH30" s="42"/>
      <c r="AJ30" s="18"/>
    </row>
    <row r="31" spans="2:36" x14ac:dyDescent="0.35">
      <c r="B31" s="1"/>
      <c r="H31" s="2" t="s">
        <v>80</v>
      </c>
      <c r="I31" s="6">
        <f>C11</f>
        <v>2.2999999999999998</v>
      </c>
      <c r="J31" s="6">
        <f>IF($C$20="Yes", C23, 0)</f>
        <v>0</v>
      </c>
      <c r="K31" s="6">
        <f>IF($C$33="Yes", C36, 0)</f>
        <v>0.65</v>
      </c>
      <c r="L31" s="6"/>
      <c r="O31" s="49">
        <v>700</v>
      </c>
      <c r="P31" s="6" cm="1">
        <f t="array" ref="P31">_xlfn.IFS( AND($C$20="No",$C$33="Yes"), 1/((1/V31)+(1/AF31)), AND($C$20="Yes",$C$33="No"), 1/((1/V31)+(1/AA31)), AND($C$20="No",$C$33="No"), 1/((1/V31)), AND($C$20="Yes",$C$33="Yes"), 1/((1/V31)+(1/AA31)+(1/AF31)))</f>
        <v>1.5790085250325396</v>
      </c>
      <c r="Q31" s="6">
        <f t="shared" si="11"/>
        <v>3.3272727272727266E-2</v>
      </c>
      <c r="S31" s="53">
        <f t="shared" si="0"/>
        <v>2.2736420441699337</v>
      </c>
      <c r="T31" s="54">
        <f t="shared" si="1"/>
        <v>1.0115928344559133E-5</v>
      </c>
      <c r="U31" s="55">
        <f t="shared" si="2"/>
        <v>0.03</v>
      </c>
      <c r="V31" s="56">
        <f t="shared" si="12"/>
        <v>2.2738298408455204</v>
      </c>
      <c r="W31" s="18"/>
      <c r="X31" s="53">
        <f t="shared" si="3"/>
        <v>5.1673682822043956</v>
      </c>
      <c r="Y31" s="54">
        <f t="shared" si="4"/>
        <v>1.4294246573833559E-6</v>
      </c>
      <c r="Z31" s="56">
        <f t="shared" si="5"/>
        <v>1E-3</v>
      </c>
      <c r="AA31" s="56">
        <f t="shared" si="6"/>
        <v>0</v>
      </c>
      <c r="AC31" s="53">
        <f t="shared" si="7"/>
        <v>5.1673682822043956</v>
      </c>
      <c r="AD31" s="54">
        <f t="shared" si="8"/>
        <v>1.4294246573833559E-6</v>
      </c>
      <c r="AE31" s="56">
        <f t="shared" si="9"/>
        <v>1E-3</v>
      </c>
      <c r="AF31" s="56">
        <f t="shared" si="10"/>
        <v>5.1673669495408179</v>
      </c>
      <c r="AH31" s="42"/>
      <c r="AJ31" s="18"/>
    </row>
    <row r="32" spans="2:36" x14ac:dyDescent="0.35">
      <c r="H32" s="2" t="s">
        <v>59</v>
      </c>
      <c r="I32" s="6">
        <f>C12</f>
        <v>1</v>
      </c>
      <c r="J32" s="6">
        <f>IF($C$20="Yes", C24, 0)</f>
        <v>0</v>
      </c>
      <c r="K32" s="6">
        <f>IF($C$33="Yes", C37, 0)</f>
        <v>2</v>
      </c>
      <c r="L32" s="6">
        <f>SUM(I32:K32)</f>
        <v>3</v>
      </c>
      <c r="O32" s="49">
        <v>800</v>
      </c>
      <c r="P32" s="6" cm="1">
        <f t="array" ref="P32">_xlfn.IFS( AND($C$20="No",$C$33="Yes"), 1/((1/V32)+(1/AF32)), AND($C$20="Yes",$C$33="No"), 1/((1/V32)+(1/AA32)), AND($C$20="No",$C$33="No"), 1/((1/V32)), AND($C$20="Yes",$C$33="Yes"), 1/((1/V32)+(1/AA32)+(1/AF32)))</f>
        <v>1.3816566819738314</v>
      </c>
      <c r="Q32" s="6">
        <f t="shared" si="11"/>
        <v>3.3272727272727266E-2</v>
      </c>
      <c r="S32" s="53">
        <f t="shared" si="0"/>
        <v>1.9894367886486917</v>
      </c>
      <c r="T32" s="54">
        <f t="shared" si="1"/>
        <v>1.1561060965210439E-5</v>
      </c>
      <c r="U32" s="55">
        <f t="shared" si="2"/>
        <v>0.03</v>
      </c>
      <c r="V32" s="56">
        <f t="shared" si="12"/>
        <v>1.9896514107155749</v>
      </c>
      <c r="W32" s="18"/>
      <c r="X32" s="53">
        <f t="shared" si="3"/>
        <v>4.5214472469288447</v>
      </c>
      <c r="Y32" s="54">
        <f t="shared" si="4"/>
        <v>1.6336281798666925E-6</v>
      </c>
      <c r="Z32" s="56">
        <f t="shared" si="5"/>
        <v>1E-3</v>
      </c>
      <c r="AA32" s="56">
        <f t="shared" si="6"/>
        <v>0</v>
      </c>
      <c r="AC32" s="53">
        <f t="shared" si="7"/>
        <v>4.5214472469288447</v>
      </c>
      <c r="AD32" s="54">
        <f t="shared" si="8"/>
        <v>1.6336281798666925E-6</v>
      </c>
      <c r="AE32" s="56">
        <f t="shared" si="9"/>
        <v>1E-3</v>
      </c>
      <c r="AF32" s="56">
        <f t="shared" si="10"/>
        <v>4.5214457238847645</v>
      </c>
      <c r="AH32" s="42"/>
      <c r="AJ32" s="18"/>
    </row>
    <row r="33" spans="2:40" ht="16.5" x14ac:dyDescent="0.45">
      <c r="B33" s="2" t="s">
        <v>166</v>
      </c>
      <c r="C33" s="3" t="s">
        <v>7</v>
      </c>
      <c r="J33" s="51"/>
      <c r="O33" s="49">
        <v>900</v>
      </c>
      <c r="P33" s="6" cm="1">
        <f t="array" ref="P33">_xlfn.IFS( AND($C$20="No",$C$33="Yes"), 1/((1/V33)+(1/AF33)), AND($C$20="Yes",$C$33="No"), 1/((1/V33)+(1/AA33)), AND($C$20="No",$C$33="No"), 1/((1/V33)), AND($C$20="Yes",$C$33="Yes"), 1/((1/V33)+(1/AA33)+(1/AF33)))</f>
        <v>1.2281636738002202</v>
      </c>
      <c r="Q33" s="6">
        <f t="shared" si="11"/>
        <v>3.3272727272727266E-2</v>
      </c>
      <c r="S33" s="53">
        <f t="shared" si="0"/>
        <v>1.7683882565766149</v>
      </c>
      <c r="T33" s="54">
        <f t="shared" si="1"/>
        <v>1.3006193585861743E-5</v>
      </c>
      <c r="U33" s="55">
        <f t="shared" si="2"/>
        <v>0.03</v>
      </c>
      <c r="V33" s="56">
        <f t="shared" si="12"/>
        <v>1.7686297029528935</v>
      </c>
      <c r="W33" s="18"/>
      <c r="X33" s="53">
        <f t="shared" si="3"/>
        <v>4.0190642194923063</v>
      </c>
      <c r="Y33" s="54">
        <f t="shared" si="4"/>
        <v>1.837831702350029E-6</v>
      </c>
      <c r="Z33" s="56">
        <f t="shared" si="5"/>
        <v>1E-3</v>
      </c>
      <c r="AA33" s="56">
        <f t="shared" si="6"/>
        <v>0</v>
      </c>
      <c r="AC33" s="53">
        <f t="shared" si="7"/>
        <v>4.0190642194923063</v>
      </c>
      <c r="AD33" s="54">
        <f t="shared" si="8"/>
        <v>1.837831702350029E-6</v>
      </c>
      <c r="AE33" s="56">
        <f t="shared" si="9"/>
        <v>1E-3</v>
      </c>
      <c r="AF33" s="56">
        <f t="shared" si="10"/>
        <v>4.0190625060677281</v>
      </c>
      <c r="AH33" s="42"/>
      <c r="AJ33" s="18"/>
    </row>
    <row r="34" spans="2:40" ht="16.5" x14ac:dyDescent="0.45">
      <c r="B34" s="2" t="s">
        <v>167</v>
      </c>
      <c r="C34" s="3">
        <v>22</v>
      </c>
      <c r="D34" s="16" t="s">
        <v>8</v>
      </c>
      <c r="O34" s="49">
        <v>1000</v>
      </c>
      <c r="P34" s="6" cm="1">
        <f t="array" ref="P34">_xlfn.IFS( AND($C$20="No",$C$33="Yes"), 1/((1/V34)+(1/AF34)), AND($C$20="Yes",$C$33="No"), 1/((1/V34)+(1/AA34)), AND($C$20="No",$C$33="No"), 1/((1/V34)), AND($C$20="Yes",$C$33="Yes"), 1/((1/V34)+(1/AA34)+(1/AF34)))</f>
        <v>1.1053718496877947</v>
      </c>
      <c r="Q34" s="6">
        <f t="shared" si="11"/>
        <v>3.3272727272727266E-2</v>
      </c>
      <c r="S34" s="53">
        <f t="shared" si="0"/>
        <v>1.5915494309189537</v>
      </c>
      <c r="T34" s="54">
        <f t="shared" si="1"/>
        <v>1.4451326206513047E-5</v>
      </c>
      <c r="U34" s="55">
        <f t="shared" si="2"/>
        <v>0.03</v>
      </c>
      <c r="V34" s="56">
        <f t="shared" si="12"/>
        <v>1.5918177003876059</v>
      </c>
      <c r="W34" s="18"/>
      <c r="X34" s="53">
        <f t="shared" si="3"/>
        <v>3.6171577975430766</v>
      </c>
      <c r="Y34" s="54">
        <f t="shared" si="4"/>
        <v>2.0420352248333656E-6</v>
      </c>
      <c r="Z34" s="56">
        <f t="shared" si="5"/>
        <v>1E-3</v>
      </c>
      <c r="AA34" s="56">
        <f t="shared" si="6"/>
        <v>0</v>
      </c>
      <c r="AC34" s="53">
        <f t="shared" si="7"/>
        <v>3.6171577975430766</v>
      </c>
      <c r="AD34" s="54">
        <f t="shared" si="8"/>
        <v>2.0420352248333656E-6</v>
      </c>
      <c r="AE34" s="56">
        <f t="shared" si="9"/>
        <v>1E-3</v>
      </c>
      <c r="AF34" s="56">
        <f t="shared" si="10"/>
        <v>3.6171558937380039</v>
      </c>
      <c r="AH34" s="42"/>
      <c r="AJ34" s="18"/>
    </row>
    <row r="35" spans="2:40" x14ac:dyDescent="0.35">
      <c r="B35" s="2" t="s">
        <v>168</v>
      </c>
      <c r="C35" s="3">
        <v>2</v>
      </c>
      <c r="D35" s="6" t="s">
        <v>16</v>
      </c>
      <c r="I35" t="s">
        <v>160</v>
      </c>
      <c r="O35" s="49">
        <v>2000</v>
      </c>
      <c r="P35" s="6" cm="1">
        <f t="array" ref="P35">_xlfn.IFS( AND($C$20="No",$C$33="Yes"), 1/((1/V35)+(1/AF35)), AND($C$20="Yes",$C$33="No"), 1/((1/V35)+(1/AA35)), AND($C$20="No",$C$33="No"), 1/((1/V35)), AND($C$20="Yes",$C$33="Yes"), 1/((1/V35)+(1/AA35)+(1/AF35)))</f>
        <v>0.55287960345514087</v>
      </c>
      <c r="Q35" s="6">
        <f t="shared" si="11"/>
        <v>3.3272727272727266E-2</v>
      </c>
      <c r="S35" s="53">
        <f t="shared" si="0"/>
        <v>0.79577471545947687</v>
      </c>
      <c r="T35" s="54">
        <f t="shared" si="1"/>
        <v>2.8902652413026095E-5</v>
      </c>
      <c r="U35" s="55">
        <f t="shared" si="2"/>
        <v>0.03</v>
      </c>
      <c r="V35" s="56">
        <f t="shared" si="12"/>
        <v>0.79631111922412257</v>
      </c>
      <c r="W35" s="18"/>
      <c r="X35" s="53">
        <f t="shared" si="3"/>
        <v>1.8085788987715383</v>
      </c>
      <c r="Y35" s="54">
        <f t="shared" si="4"/>
        <v>4.0840704496667312E-6</v>
      </c>
      <c r="Z35" s="56">
        <f t="shared" si="5"/>
        <v>1E-3</v>
      </c>
      <c r="AA35" s="56">
        <f t="shared" si="6"/>
        <v>0</v>
      </c>
      <c r="AC35" s="53">
        <f t="shared" si="7"/>
        <v>1.8085788987715383</v>
      </c>
      <c r="AD35" s="54">
        <f t="shared" si="8"/>
        <v>4.0840704496667312E-6</v>
      </c>
      <c r="AE35" s="56">
        <f t="shared" si="9"/>
        <v>1E-3</v>
      </c>
      <c r="AF35" s="56">
        <f t="shared" si="10"/>
        <v>1.8085750911618454</v>
      </c>
      <c r="AH35" s="42"/>
      <c r="AJ35" s="18"/>
    </row>
    <row r="36" spans="2:40" x14ac:dyDescent="0.35">
      <c r="B36" s="2" t="s">
        <v>169</v>
      </c>
      <c r="C36" s="3">
        <v>0.65</v>
      </c>
      <c r="D36" s="6" t="s">
        <v>5</v>
      </c>
      <c r="H36" s="2" t="s">
        <v>62</v>
      </c>
      <c r="I36" s="49" t="s">
        <v>161</v>
      </c>
      <c r="J36" s="49" t="s">
        <v>60</v>
      </c>
      <c r="K36" s="50" t="s">
        <v>69</v>
      </c>
      <c r="L36" s="50" t="s">
        <v>231</v>
      </c>
      <c r="O36" s="49">
        <v>3000</v>
      </c>
      <c r="P36" s="6" cm="1">
        <f t="array" ref="P36">_xlfn.IFS( AND($C$20="No",$C$33="Yes"), 1/((1/V36)+(1/AF36)), AND($C$20="Yes",$C$33="No"), 1/((1/V36)+(1/AA36)), AND($C$20="No",$C$33="No"), 1/((1/V36)), AND($C$20="Yes",$C$33="Yes"), 1/((1/V36)+(1/AA36)+(1/AF36)))</f>
        <v>0.36880136697761318</v>
      </c>
      <c r="Q36" s="6">
        <f t="shared" si="11"/>
        <v>3.3272727272727266E-2</v>
      </c>
      <c r="S36" s="53">
        <f t="shared" si="0"/>
        <v>0.53051647697298443</v>
      </c>
      <c r="T36" s="54">
        <f t="shared" si="1"/>
        <v>4.3353978619539141E-5</v>
      </c>
      <c r="U36" s="55">
        <f t="shared" si="2"/>
        <v>0.03</v>
      </c>
      <c r="V36" s="56">
        <f t="shared" si="12"/>
        <v>0.53132074514307703</v>
      </c>
      <c r="W36" s="18"/>
      <c r="X36" s="53">
        <f t="shared" si="3"/>
        <v>1.2057192658476918</v>
      </c>
      <c r="Y36" s="54">
        <f t="shared" si="4"/>
        <v>6.1261056745000964E-6</v>
      </c>
      <c r="Z36" s="56">
        <f t="shared" si="5"/>
        <v>1E-3</v>
      </c>
      <c r="AA36" s="56">
        <f t="shared" si="6"/>
        <v>0</v>
      </c>
      <c r="AC36" s="53">
        <f t="shared" si="7"/>
        <v>1.2057192658476918</v>
      </c>
      <c r="AD36" s="54">
        <f t="shared" si="8"/>
        <v>6.1261056745000964E-6</v>
      </c>
      <c r="AE36" s="56">
        <f t="shared" si="9"/>
        <v>1E-3</v>
      </c>
      <c r="AF36" s="56">
        <f t="shared" si="10"/>
        <v>1.2057135544342832</v>
      </c>
      <c r="AH36" s="42"/>
      <c r="AJ36" s="18"/>
    </row>
    <row r="37" spans="2:40" x14ac:dyDescent="0.35">
      <c r="B37" s="2" t="s">
        <v>170</v>
      </c>
      <c r="C37" s="3">
        <v>2</v>
      </c>
      <c r="D37" s="6"/>
      <c r="H37" s="2" t="s">
        <v>64</v>
      </c>
      <c r="I37" s="62">
        <v>47</v>
      </c>
      <c r="J37" s="62">
        <v>47</v>
      </c>
      <c r="K37" s="62">
        <v>47</v>
      </c>
      <c r="L37" s="62">
        <v>100</v>
      </c>
      <c r="O37" s="49">
        <v>4000</v>
      </c>
      <c r="P37" s="6" cm="1">
        <f t="array" ref="P37">_xlfn.IFS( AND($C$20="No",$C$33="Yes"), 1/((1/V37)+(1/AF37)), AND($C$20="Yes",$C$33="No"), 1/((1/V37)+(1/AA37)), AND($C$20="No",$C$33="No"), 1/((1/V37)), AND($C$20="Yes",$C$33="Yes"), 1/((1/V37)+(1/AA37)+(1/AF37)))</f>
        <v>0.27682637096583323</v>
      </c>
      <c r="Q37" s="6">
        <f t="shared" si="11"/>
        <v>3.3272727272727266E-2</v>
      </c>
      <c r="S37" s="53">
        <f t="shared" si="0"/>
        <v>0.39788735772973843</v>
      </c>
      <c r="T37" s="54">
        <f t="shared" si="1"/>
        <v>5.780530482605219E-5</v>
      </c>
      <c r="U37" s="55">
        <f t="shared" si="2"/>
        <v>0.03</v>
      </c>
      <c r="V37" s="56">
        <f t="shared" si="12"/>
        <v>0.39895908660238094</v>
      </c>
      <c r="W37" s="18"/>
      <c r="X37" s="53">
        <f t="shared" si="3"/>
        <v>0.90428944938576916</v>
      </c>
      <c r="Y37" s="54">
        <f t="shared" si="4"/>
        <v>8.1681408993334625E-6</v>
      </c>
      <c r="Z37" s="56">
        <f t="shared" si="5"/>
        <v>1E-3</v>
      </c>
      <c r="AA37" s="56">
        <f t="shared" si="6"/>
        <v>0</v>
      </c>
      <c r="AC37" s="53">
        <f t="shared" si="7"/>
        <v>0.90428944938576916</v>
      </c>
      <c r="AD37" s="54">
        <f t="shared" si="8"/>
        <v>8.1681408993334625E-6</v>
      </c>
      <c r="AE37" s="56">
        <f t="shared" si="9"/>
        <v>1E-3</v>
      </c>
      <c r="AF37" s="56">
        <f t="shared" si="10"/>
        <v>0.9042818341700023</v>
      </c>
      <c r="AH37" s="42"/>
      <c r="AJ37" s="18"/>
    </row>
    <row r="38" spans="2:40" x14ac:dyDescent="0.35">
      <c r="B38" s="2" t="s">
        <v>171</v>
      </c>
      <c r="C38" s="5">
        <f>C37*C34</f>
        <v>44</v>
      </c>
      <c r="D38" s="16" t="s">
        <v>8</v>
      </c>
      <c r="H38" s="2" t="s">
        <v>63</v>
      </c>
      <c r="I38" s="62">
        <v>35</v>
      </c>
      <c r="J38" s="62">
        <v>60</v>
      </c>
      <c r="K38" s="62">
        <v>65</v>
      </c>
      <c r="L38" s="62">
        <v>30</v>
      </c>
      <c r="O38" s="49">
        <v>5000</v>
      </c>
      <c r="P38" s="6" cm="1">
        <f t="array" ref="P38">_xlfn.IFS( AND($C$20="No",$C$33="Yes"), 1/((1/V38)+(1/AF38)), AND($C$20="Yes",$C$33="No"), 1/((1/V38)+(1/AA38)), AND($C$20="No",$C$33="No"), 1/((1/V38)), AND($C$20="Yes",$C$33="Yes"), 1/((1/V38)+(1/AA38)+(1/AF38)))</f>
        <v>0.22169237937224431</v>
      </c>
      <c r="Q38" s="6">
        <f t="shared" si="11"/>
        <v>3.3272727272727266E-2</v>
      </c>
      <c r="S38" s="53">
        <f t="shared" si="0"/>
        <v>0.31830988618379075</v>
      </c>
      <c r="T38" s="54">
        <f t="shared" si="1"/>
        <v>7.2256631032565239E-5</v>
      </c>
      <c r="U38" s="55">
        <f t="shared" si="2"/>
        <v>0.03</v>
      </c>
      <c r="V38" s="56">
        <f t="shared" si="12"/>
        <v>0.31964853959209411</v>
      </c>
      <c r="W38" s="18"/>
      <c r="X38" s="53">
        <f t="shared" si="3"/>
        <v>0.72343155950861526</v>
      </c>
      <c r="Y38" s="54">
        <f t="shared" si="4"/>
        <v>1.0210176124166828E-5</v>
      </c>
      <c r="Z38" s="56">
        <f t="shared" si="5"/>
        <v>1E-3</v>
      </c>
      <c r="AA38" s="56">
        <f t="shared" si="6"/>
        <v>0</v>
      </c>
      <c r="AC38" s="53">
        <f t="shared" si="7"/>
        <v>0.72343155950861526</v>
      </c>
      <c r="AD38" s="54">
        <f t="shared" si="8"/>
        <v>1.0210176124166828E-5</v>
      </c>
      <c r="AE38" s="56">
        <f t="shared" si="9"/>
        <v>1E-3</v>
      </c>
      <c r="AF38" s="56">
        <f t="shared" si="10"/>
        <v>0.72342204049229952</v>
      </c>
      <c r="AH38" s="42"/>
      <c r="AJ38" s="18"/>
    </row>
    <row r="39" spans="2:40" x14ac:dyDescent="0.35">
      <c r="B39" s="2" t="s">
        <v>172</v>
      </c>
      <c r="C39" s="5">
        <f>C35/C37</f>
        <v>1</v>
      </c>
      <c r="D39" s="6" t="s">
        <v>16</v>
      </c>
      <c r="H39" s="2" t="s">
        <v>80</v>
      </c>
      <c r="I39" s="63">
        <v>1.5</v>
      </c>
      <c r="J39" s="63">
        <v>2.35</v>
      </c>
      <c r="K39" s="63"/>
      <c r="L39" s="63">
        <v>2.2999999999999998</v>
      </c>
      <c r="O39" s="49">
        <v>6000</v>
      </c>
      <c r="P39" s="6" cm="1">
        <f t="array" ref="P39">_xlfn.IFS( AND($C$20="No",$C$33="Yes"), 1/((1/V39)+(1/AF39)), AND($C$20="Yes",$C$33="No"), 1/((1/V39)+(1/AA39)), AND($C$20="No",$C$33="No"), 1/((1/V39)), AND($C$20="Yes",$C$33="Yes"), 1/((1/V39)+(1/AA39)+(1/AF39)))</f>
        <v>0.18497857970428944</v>
      </c>
      <c r="Q39" s="6">
        <f t="shared" si="11"/>
        <v>3.3272727272727266E-2</v>
      </c>
      <c r="S39" s="53">
        <f t="shared" ref="S39:S70" si="13">1/(2*PI()*$O39*$C$12*$C$9*0.000001)</f>
        <v>0.26525823848649221</v>
      </c>
      <c r="T39" s="54">
        <f t="shared" ref="T39:T70" si="14">2*PI()*$O39*((0.000000001*$C$11)/$C$12)</f>
        <v>8.6707957239078281E-5</v>
      </c>
      <c r="U39" s="55">
        <f t="shared" ref="U39:U70" si="15">(0.001*$C$10)/$C$12</f>
        <v>0.03</v>
      </c>
      <c r="V39" s="56">
        <f t="shared" si="12"/>
        <v>0.26686314957900542</v>
      </c>
      <c r="W39" s="18"/>
      <c r="X39" s="53">
        <f t="shared" ref="X39:X70" si="16">1/(2*PI()*$O39*$C$24*$C$21*0.000001)</f>
        <v>0.60285963292384592</v>
      </c>
      <c r="Y39" s="54">
        <f t="shared" ref="Y39:Y70" si="17">2*PI()*$O39*((0.000000001*$C$23)/$C$24)</f>
        <v>1.2252211349000193E-5</v>
      </c>
      <c r="Z39" s="56">
        <f t="shared" ref="Z39:Z70" si="18">(0.001*$C$22)/$C$24</f>
        <v>1E-3</v>
      </c>
      <c r="AA39" s="56">
        <f t="shared" ref="AA39:AA70" si="19">IF($C$20="Yes", SQRT(Z39^(2)+ABS(X39-Y39)^(2)), 0)</f>
        <v>0</v>
      </c>
      <c r="AC39" s="53">
        <f t="shared" ref="AC39:AC70" si="20">1/(2*PI()*$O39*$C$37*$C$34*0.000001)</f>
        <v>0.60285963292384592</v>
      </c>
      <c r="AD39" s="54">
        <f t="shared" ref="AD39:AD70" si="21">2*PI()*$O39*((0.000000001*$C$36)/$C$37)</f>
        <v>1.2252211349000193E-5</v>
      </c>
      <c r="AE39" s="56">
        <f t="shared" ref="AE39:AE70" si="22">(0.001*$C$35)/$C$37</f>
        <v>1E-3</v>
      </c>
      <c r="AF39" s="56">
        <f t="shared" ref="AF39:AF70" si="23">IF($C$33="Yes", SQRT(AE39^(2)+ABS(AC39-AD39)^(2)), 0)</f>
        <v>0.60284821010924317</v>
      </c>
      <c r="AH39" s="42"/>
      <c r="AJ39" s="18"/>
    </row>
    <row r="40" spans="2:40" x14ac:dyDescent="0.35">
      <c r="B40" s="2" t="s">
        <v>182</v>
      </c>
      <c r="C40" s="5">
        <f>C36/C37</f>
        <v>0.32500000000000001</v>
      </c>
      <c r="D40" s="6" t="s">
        <v>5</v>
      </c>
      <c r="H40" s="2" t="s">
        <v>65</v>
      </c>
      <c r="I40" s="49">
        <v>16</v>
      </c>
      <c r="J40" s="49">
        <v>35</v>
      </c>
      <c r="K40" s="49">
        <v>25</v>
      </c>
      <c r="L40" s="49">
        <v>25</v>
      </c>
      <c r="O40" s="49">
        <v>7000</v>
      </c>
      <c r="P40" s="6" cm="1">
        <f t="array" ref="P40">_xlfn.IFS( AND($C$20="No",$C$33="Yes"), 1/((1/V40)+(1/AF40)), AND($C$20="Yes",$C$33="No"), 1/((1/V40)+(1/AA40)), AND($C$20="No",$C$33="No"), 1/((1/V40)), AND($C$20="Yes",$C$33="Yes"), 1/((1/V40)+(1/AA40)+(1/AF40)))</f>
        <v>0.1587902819465761</v>
      </c>
      <c r="Q40" s="6">
        <f t="shared" si="11"/>
        <v>3.3272727272727266E-2</v>
      </c>
      <c r="S40" s="53">
        <f t="shared" si="13"/>
        <v>0.2273642044169934</v>
      </c>
      <c r="T40" s="54">
        <f t="shared" si="14"/>
        <v>1.0115928344559132E-4</v>
      </c>
      <c r="U40" s="55">
        <f t="shared" si="15"/>
        <v>0.03</v>
      </c>
      <c r="V40" s="56">
        <f t="shared" si="12"/>
        <v>0.22923457785284704</v>
      </c>
      <c r="W40" s="18"/>
      <c r="X40" s="53">
        <f t="shared" si="16"/>
        <v>0.51673682822043954</v>
      </c>
      <c r="Y40" s="54">
        <f t="shared" si="17"/>
        <v>1.4294246573833558E-5</v>
      </c>
      <c r="Z40" s="56">
        <f t="shared" si="18"/>
        <v>1E-3</v>
      </c>
      <c r="AA40" s="56">
        <f t="shared" si="19"/>
        <v>0</v>
      </c>
      <c r="AC40" s="53">
        <f t="shared" si="20"/>
        <v>0.51673682822043954</v>
      </c>
      <c r="AD40" s="54">
        <f t="shared" si="21"/>
        <v>1.4294246573833558E-5</v>
      </c>
      <c r="AE40" s="56">
        <f t="shared" si="22"/>
        <v>1E-3</v>
      </c>
      <c r="AF40" s="56">
        <f t="shared" si="23"/>
        <v>0.51672350161026426</v>
      </c>
      <c r="AH40" s="42"/>
    </row>
    <row r="41" spans="2:40" x14ac:dyDescent="0.35">
      <c r="B41" s="2" t="s">
        <v>173</v>
      </c>
      <c r="C41" s="5">
        <f>(1/(2*PI()*(SQRT(C34*0.000001*C36*0.000000001))))*0.000001</f>
        <v>1.330920495137307</v>
      </c>
      <c r="D41" s="6" t="s">
        <v>83</v>
      </c>
      <c r="H41" s="2" t="s">
        <v>70</v>
      </c>
      <c r="I41" s="64"/>
      <c r="J41" s="64"/>
      <c r="K41" s="65">
        <v>0.11899999999999999</v>
      </c>
      <c r="L41" s="65"/>
      <c r="O41" s="49">
        <v>8000</v>
      </c>
      <c r="P41" s="6" cm="1">
        <f t="array" ref="P41">_xlfn.IFS( AND($C$20="No",$C$33="Yes"), 1/((1/V41)+(1/AF41)), AND($C$20="Yes",$C$33="No"), 1/((1/V41)+(1/AA41)), AND($C$20="No",$C$33="No"), 1/((1/V41)), AND($C$20="Yes",$C$33="Yes"), 1/((1/V41)+(1/AA41)+(1/AF41)))</f>
        <v>0.13918009354394623</v>
      </c>
      <c r="Q41" s="6">
        <f t="shared" si="11"/>
        <v>3.3272727272727266E-2</v>
      </c>
      <c r="S41" s="53">
        <f t="shared" si="13"/>
        <v>0.19894367886486922</v>
      </c>
      <c r="T41" s="54">
        <f t="shared" si="14"/>
        <v>1.1561060965210438E-4</v>
      </c>
      <c r="U41" s="55">
        <f t="shared" si="15"/>
        <v>0.03</v>
      </c>
      <c r="V41" s="56">
        <f t="shared" si="12"/>
        <v>0.20107859340591497</v>
      </c>
      <c r="W41" s="18"/>
      <c r="X41" s="53">
        <f t="shared" si="16"/>
        <v>0.45214472469288458</v>
      </c>
      <c r="Y41" s="54">
        <f t="shared" si="17"/>
        <v>1.6336281798666925E-5</v>
      </c>
      <c r="Z41" s="56">
        <f t="shared" si="18"/>
        <v>1E-3</v>
      </c>
      <c r="AA41" s="56">
        <f t="shared" si="19"/>
        <v>0</v>
      </c>
      <c r="AC41" s="53">
        <f t="shared" si="20"/>
        <v>0.45214472469288458</v>
      </c>
      <c r="AD41" s="54">
        <f t="shared" si="21"/>
        <v>1.6336281798666925E-5</v>
      </c>
      <c r="AE41" s="56">
        <f t="shared" si="22"/>
        <v>1E-3</v>
      </c>
      <c r="AF41" s="56">
        <f t="shared" si="23"/>
        <v>0.45212949429030375</v>
      </c>
      <c r="AH41" s="42"/>
    </row>
    <row r="42" spans="2:40" x14ac:dyDescent="0.35">
      <c r="H42" s="2" t="s">
        <v>66</v>
      </c>
      <c r="I42" s="65">
        <f>2.535*0.7</f>
        <v>1.7745</v>
      </c>
      <c r="J42" s="65">
        <v>1.4870000000000001</v>
      </c>
      <c r="K42" s="65">
        <v>1.8340000000000001</v>
      </c>
      <c r="L42" s="65">
        <v>3.65</v>
      </c>
      <c r="O42" s="49">
        <v>9000</v>
      </c>
      <c r="P42" s="6" cm="1">
        <f t="array" ref="P42">_xlfn.IFS( AND($C$20="No",$C$33="Yes"), 1/((1/V42)+(1/AF42)), AND($C$20="Yes",$C$33="No"), 1/((1/V42)+(1/AA42)), AND($C$20="No",$C$33="No"), 1/((1/V42)), AND($C$20="Yes",$C$33="Yes"), 1/((1/V42)+(1/AA42)+(1/AF42)))</f>
        <v>0.12395497793769596</v>
      </c>
      <c r="Q42" s="6">
        <f t="shared" si="11"/>
        <v>3.3272727272727266E-2</v>
      </c>
      <c r="S42" s="53">
        <f t="shared" si="13"/>
        <v>0.17683882565766149</v>
      </c>
      <c r="T42" s="54">
        <f t="shared" si="14"/>
        <v>1.3006193585861744E-4</v>
      </c>
      <c r="U42" s="55">
        <f t="shared" si="15"/>
        <v>0.03</v>
      </c>
      <c r="V42" s="56">
        <f t="shared" si="12"/>
        <v>0.17923723713583611</v>
      </c>
      <c r="W42" s="18"/>
      <c r="X42" s="53">
        <f t="shared" si="16"/>
        <v>0.4019064219492306</v>
      </c>
      <c r="Y42" s="54">
        <f t="shared" si="17"/>
        <v>1.8378317023500292E-5</v>
      </c>
      <c r="Z42" s="56">
        <f t="shared" si="18"/>
        <v>1E-3</v>
      </c>
      <c r="AA42" s="56">
        <f t="shared" si="19"/>
        <v>0</v>
      </c>
      <c r="AC42" s="53">
        <f t="shared" si="20"/>
        <v>0.4019064219492306</v>
      </c>
      <c r="AD42" s="54">
        <f t="shared" si="21"/>
        <v>1.8378317023500292E-5</v>
      </c>
      <c r="AE42" s="56">
        <f t="shared" si="22"/>
        <v>1E-3</v>
      </c>
      <c r="AF42" s="56">
        <f t="shared" si="23"/>
        <v>0.40188928775786348</v>
      </c>
      <c r="AH42" s="42"/>
    </row>
    <row r="43" spans="2:40" ht="16.5" x14ac:dyDescent="0.45">
      <c r="B43" s="2" t="s">
        <v>26</v>
      </c>
      <c r="C43" s="5">
        <f>L29</f>
        <v>144</v>
      </c>
      <c r="D43" s="6" t="s">
        <v>8</v>
      </c>
      <c r="H43" s="2" t="s">
        <v>67</v>
      </c>
      <c r="I43" s="50" t="s">
        <v>162</v>
      </c>
      <c r="J43" s="50" t="s">
        <v>61</v>
      </c>
      <c r="K43" s="50" t="s">
        <v>68</v>
      </c>
      <c r="L43" s="50"/>
      <c r="O43" s="49">
        <v>10000</v>
      </c>
      <c r="P43" s="6" cm="1">
        <f t="array" ref="P43">_xlfn.IFS( AND($C$20="No",$C$33="Yes"), 1/((1/V43)+(1/AF43)), AND($C$20="Yes",$C$33="No"), 1/((1/V43)+(1/AA43)), AND($C$20="No",$C$33="No"), 1/((1/V43)), AND($C$20="Yes",$C$33="Yes"), 1/((1/V43)+(1/AA43)+(1/AF43)))</f>
        <v>0.11179907815150721</v>
      </c>
      <c r="Q43" s="6">
        <f t="shared" si="11"/>
        <v>3.3272727272727266E-2</v>
      </c>
      <c r="S43" s="53">
        <f t="shared" si="13"/>
        <v>0.15915494309189537</v>
      </c>
      <c r="T43" s="54">
        <f t="shared" si="14"/>
        <v>1.4451326206513048E-4</v>
      </c>
      <c r="U43" s="55">
        <f t="shared" si="15"/>
        <v>0.03</v>
      </c>
      <c r="V43" s="56">
        <f t="shared" si="12"/>
        <v>0.16181568772732566</v>
      </c>
      <c r="W43" s="18"/>
      <c r="X43" s="53">
        <f t="shared" si="16"/>
        <v>0.36171577975430763</v>
      </c>
      <c r="Y43" s="54">
        <f t="shared" si="17"/>
        <v>2.0420352248333655E-5</v>
      </c>
      <c r="Z43" s="56">
        <f t="shared" si="18"/>
        <v>1E-3</v>
      </c>
      <c r="AA43" s="56">
        <f t="shared" si="19"/>
        <v>0</v>
      </c>
      <c r="AC43" s="53">
        <f t="shared" si="20"/>
        <v>0.36171577975430763</v>
      </c>
      <c r="AD43" s="54">
        <f t="shared" si="21"/>
        <v>2.0420352248333655E-5</v>
      </c>
      <c r="AE43" s="56">
        <f t="shared" si="22"/>
        <v>1E-3</v>
      </c>
      <c r="AF43" s="56">
        <f t="shared" si="23"/>
        <v>0.36169674177822619</v>
      </c>
      <c r="AH43" s="42"/>
    </row>
    <row r="44" spans="2:40" x14ac:dyDescent="0.35">
      <c r="O44" s="49">
        <v>20000</v>
      </c>
      <c r="P44" s="6" cm="1">
        <f t="array" ref="P44">_xlfn.IFS( AND($C$20="No",$C$33="Yes"), 1/((1/V44)+(1/AF44)), AND($C$20="Yes",$C$33="No"), 1/((1/V44)+(1/AA44)), AND($C$20="No",$C$33="No"), 1/((1/V44)), AND($C$20="Yes",$C$33="Yes"), 1/((1/V44)+(1/AA44)+(1/AF44)))</f>
        <v>5.7715343167490822E-2</v>
      </c>
      <c r="Q44" s="6">
        <f t="shared" si="11"/>
        <v>3.3272727272727266E-2</v>
      </c>
      <c r="S44" s="53">
        <f t="shared" si="13"/>
        <v>7.9577471545947687E-2</v>
      </c>
      <c r="T44" s="54">
        <f t="shared" si="14"/>
        <v>2.8902652413026096E-4</v>
      </c>
      <c r="U44" s="55">
        <f t="shared" si="15"/>
        <v>0.03</v>
      </c>
      <c r="V44" s="56">
        <f t="shared" si="12"/>
        <v>8.4774155931968811E-2</v>
      </c>
      <c r="W44" s="18"/>
      <c r="X44" s="53">
        <f t="shared" si="16"/>
        <v>0.18085788987715382</v>
      </c>
      <c r="Y44" s="54">
        <f t="shared" si="17"/>
        <v>4.0840704496667311E-5</v>
      </c>
      <c r="Z44" s="56">
        <f t="shared" si="18"/>
        <v>1E-3</v>
      </c>
      <c r="AA44" s="56">
        <f t="shared" si="19"/>
        <v>0</v>
      </c>
      <c r="AC44" s="53">
        <f t="shared" si="20"/>
        <v>0.18085788987715382</v>
      </c>
      <c r="AD44" s="54">
        <f t="shared" si="21"/>
        <v>4.0840704496667311E-5</v>
      </c>
      <c r="AE44" s="56">
        <f t="shared" si="22"/>
        <v>1E-3</v>
      </c>
      <c r="AF44" s="56">
        <f t="shared" si="23"/>
        <v>0.18081981437748218</v>
      </c>
      <c r="AH44" s="42"/>
    </row>
    <row r="45" spans="2:40" x14ac:dyDescent="0.35">
      <c r="O45" s="49">
        <v>30000</v>
      </c>
      <c r="P45" s="6" cm="1">
        <f t="array" ref="P45">_xlfn.IFS( AND($C$20="No",$C$33="Yes"), 1/((1/V45)+(1/AF45)), AND($C$20="Yes",$C$33="No"), 1/((1/V45)+(1/AA45)), AND($C$20="No",$C$33="No"), 1/((1/V45)), AND($C$20="Yes",$C$33="Yes"), 1/((1/V45)+(1/AA45)+(1/AF45)))</f>
        <v>4.0310077133172521E-2</v>
      </c>
      <c r="Q45" s="6">
        <f t="shared" si="11"/>
        <v>3.3272727272727266E-2</v>
      </c>
      <c r="S45" s="53">
        <f t="shared" si="13"/>
        <v>5.3051647697298449E-2</v>
      </c>
      <c r="T45" s="54">
        <f t="shared" si="14"/>
        <v>4.3353978619539143E-4</v>
      </c>
      <c r="U45" s="55">
        <f t="shared" si="15"/>
        <v>0.03</v>
      </c>
      <c r="V45" s="56">
        <f t="shared" si="12"/>
        <v>6.0569507841359303E-2</v>
      </c>
      <c r="W45" s="18"/>
      <c r="X45" s="53">
        <f t="shared" si="16"/>
        <v>0.12057192658476922</v>
      </c>
      <c r="Y45" s="54">
        <f t="shared" si="17"/>
        <v>6.1261056745000973E-5</v>
      </c>
      <c r="Z45" s="56">
        <f t="shared" si="18"/>
        <v>1E-3</v>
      </c>
      <c r="AA45" s="56">
        <f t="shared" si="19"/>
        <v>0</v>
      </c>
      <c r="AC45" s="53">
        <f t="shared" si="20"/>
        <v>0.12057192658476922</v>
      </c>
      <c r="AD45" s="54">
        <f t="shared" si="21"/>
        <v>6.1261056745000973E-5</v>
      </c>
      <c r="AE45" s="56">
        <f t="shared" si="22"/>
        <v>1E-3</v>
      </c>
      <c r="AF45" s="56">
        <f t="shared" si="23"/>
        <v>0.12051481446696635</v>
      </c>
      <c r="AH45" s="42"/>
    </row>
    <row r="46" spans="2:40" x14ac:dyDescent="0.35">
      <c r="O46" s="49">
        <v>40000</v>
      </c>
      <c r="P46" s="6" cm="1">
        <f t="array" ref="P46">_xlfn.IFS( AND($C$20="No",$C$33="Yes"), 1/((1/V46)+(1/AF46)), AND($C$20="Yes",$C$33="No"), 1/((1/V46)+(1/AA46)), AND($C$20="No",$C$33="No"), 1/((1/V46)), AND($C$20="Yes",$C$33="Yes"), 1/((1/V46)+(1/AA46)+(1/AF46)))</f>
        <v>3.1925823622459659E-2</v>
      </c>
      <c r="Q46" s="6">
        <f t="shared" si="11"/>
        <v>3.3272727272727266E-2</v>
      </c>
      <c r="S46" s="53">
        <f t="shared" si="13"/>
        <v>3.9788735772973843E-2</v>
      </c>
      <c r="T46" s="54">
        <f t="shared" si="14"/>
        <v>5.7805304826052191E-4</v>
      </c>
      <c r="U46" s="55">
        <f t="shared" si="15"/>
        <v>0.03</v>
      </c>
      <c r="V46" s="56">
        <f t="shared" si="12"/>
        <v>4.937081769363489E-2</v>
      </c>
      <c r="W46" s="18"/>
      <c r="X46" s="53">
        <f t="shared" si="16"/>
        <v>9.0428944938576908E-2</v>
      </c>
      <c r="Y46" s="54">
        <f t="shared" si="17"/>
        <v>8.1681408993334621E-5</v>
      </c>
      <c r="Z46" s="56">
        <f t="shared" si="18"/>
        <v>1E-3</v>
      </c>
      <c r="AA46" s="56">
        <f t="shared" si="19"/>
        <v>0</v>
      </c>
      <c r="AC46" s="53">
        <f t="shared" si="20"/>
        <v>9.0428944938576908E-2</v>
      </c>
      <c r="AD46" s="54">
        <f t="shared" si="21"/>
        <v>8.1681408993334621E-5</v>
      </c>
      <c r="AE46" s="56">
        <f t="shared" si="22"/>
        <v>1E-3</v>
      </c>
      <c r="AF46" s="56">
        <f t="shared" si="23"/>
        <v>9.0352797562023607E-2</v>
      </c>
      <c r="AH46" s="42"/>
      <c r="AI46" s="18"/>
      <c r="AN46" s="18"/>
    </row>
    <row r="47" spans="2:40" x14ac:dyDescent="0.35">
      <c r="O47" s="49">
        <v>50000</v>
      </c>
      <c r="P47" s="6" cm="1">
        <f t="array" ref="P47">_xlfn.IFS( AND($C$20="No",$C$33="Yes"), 1/((1/V47)+(1/AF47)), AND($C$20="Yes",$C$33="No"), 1/((1/V47)+(1/AA47)), AND($C$20="No",$C$33="No"), 1/((1/V47)), AND($C$20="Yes",$C$33="Yes"), 1/((1/V47)+(1/AA47)+(1/AF47)))</f>
        <v>2.7041565932319815E-2</v>
      </c>
      <c r="Q47" s="6">
        <f t="shared" si="11"/>
        <v>3.3272727272727266E-2</v>
      </c>
      <c r="S47" s="53">
        <f t="shared" si="13"/>
        <v>3.1830988618379075E-2</v>
      </c>
      <c r="T47" s="54">
        <f t="shared" si="14"/>
        <v>7.2256631032565233E-4</v>
      </c>
      <c r="U47" s="55">
        <f t="shared" si="15"/>
        <v>0.03</v>
      </c>
      <c r="V47" s="56">
        <f t="shared" si="12"/>
        <v>4.3217287495818102E-2</v>
      </c>
      <c r="W47" s="18"/>
      <c r="X47" s="53">
        <f t="shared" si="16"/>
        <v>7.2343155950861521E-2</v>
      </c>
      <c r="Y47" s="54">
        <f t="shared" si="17"/>
        <v>1.0210176124166827E-4</v>
      </c>
      <c r="Z47" s="56">
        <f t="shared" si="18"/>
        <v>1E-3</v>
      </c>
      <c r="AA47" s="56">
        <f t="shared" si="19"/>
        <v>0</v>
      </c>
      <c r="AC47" s="53">
        <f t="shared" si="20"/>
        <v>7.2343155950861521E-2</v>
      </c>
      <c r="AD47" s="54">
        <f t="shared" si="21"/>
        <v>1.0210176124166827E-4</v>
      </c>
      <c r="AE47" s="56">
        <f t="shared" si="22"/>
        <v>1E-3</v>
      </c>
      <c r="AF47" s="56">
        <f t="shared" si="23"/>
        <v>7.2247975130294073E-2</v>
      </c>
      <c r="AH47" s="42"/>
      <c r="AI47" s="18"/>
      <c r="AJ47" s="18"/>
      <c r="AM47" s="18"/>
      <c r="AN47" s="18"/>
    </row>
    <row r="48" spans="2:40" x14ac:dyDescent="0.35">
      <c r="O48" s="49">
        <v>60000</v>
      </c>
      <c r="P48" s="6" cm="1">
        <f t="array" ref="P48">_xlfn.IFS( AND($C$20="No",$C$33="Yes"), 1/((1/V48)+(1/AF48)), AND($C$20="Yes",$C$33="No"), 1/((1/V48)+(1/AA48)), AND($C$20="No",$C$33="No"), 1/((1/V48)), AND($C$20="Yes",$C$33="Yes"), 1/((1/V48)+(1/AA48)+(1/AF48)))</f>
        <v>2.3837443940203831E-2</v>
      </c>
      <c r="Q48" s="6">
        <f t="shared" si="11"/>
        <v>3.3272727272727266E-2</v>
      </c>
      <c r="S48" s="53">
        <f t="shared" si="13"/>
        <v>2.6525823848649224E-2</v>
      </c>
      <c r="T48" s="54">
        <f t="shared" si="14"/>
        <v>8.6707957239078287E-4</v>
      </c>
      <c r="U48" s="55">
        <f t="shared" si="15"/>
        <v>0.03</v>
      </c>
      <c r="V48" s="56">
        <f t="shared" si="12"/>
        <v>3.947621002368927E-2</v>
      </c>
      <c r="W48" s="18"/>
      <c r="X48" s="53">
        <f t="shared" si="16"/>
        <v>6.0285963292384608E-2</v>
      </c>
      <c r="Y48" s="54">
        <f t="shared" si="17"/>
        <v>1.2252211349000195E-4</v>
      </c>
      <c r="Z48" s="56">
        <f t="shared" si="18"/>
        <v>1E-3</v>
      </c>
      <c r="AA48" s="56">
        <f t="shared" si="19"/>
        <v>0</v>
      </c>
      <c r="AC48" s="53">
        <f t="shared" si="20"/>
        <v>6.0285963292384608E-2</v>
      </c>
      <c r="AD48" s="54">
        <f t="shared" si="21"/>
        <v>1.2252211349000195E-4</v>
      </c>
      <c r="AE48" s="56">
        <f t="shared" si="22"/>
        <v>1E-3</v>
      </c>
      <c r="AF48" s="56">
        <f t="shared" si="23"/>
        <v>6.017175129981104E-2</v>
      </c>
      <c r="AH48" s="42"/>
      <c r="AI48" s="18"/>
      <c r="AJ48" s="18"/>
      <c r="AM48" s="18"/>
      <c r="AN48" s="18"/>
    </row>
    <row r="49" spans="15:40" x14ac:dyDescent="0.35">
      <c r="O49" s="49">
        <v>70000</v>
      </c>
      <c r="P49" s="6" cm="1">
        <f t="array" ref="P49">_xlfn.IFS( AND($C$20="No",$C$33="Yes"), 1/((1/V49)+(1/AF49)), AND($C$20="Yes",$C$33="No"), 1/((1/V49)+(1/AA49)), AND($C$20="No",$C$33="No"), 1/((1/V49)), AND($C$20="Yes",$C$33="Yes"), 1/((1/V49)+(1/AA49)+(1/AF49)))</f>
        <v>2.1551717059578833E-2</v>
      </c>
      <c r="Q49" s="6">
        <f t="shared" si="11"/>
        <v>3.3272727272727266E-2</v>
      </c>
      <c r="S49" s="53">
        <f t="shared" si="13"/>
        <v>2.2736420441699334E-2</v>
      </c>
      <c r="T49" s="54">
        <f t="shared" si="14"/>
        <v>1.0115928344559134E-3</v>
      </c>
      <c r="U49" s="55">
        <f t="shared" si="15"/>
        <v>0.03</v>
      </c>
      <c r="V49" s="56">
        <f t="shared" si="12"/>
        <v>3.704008820945822E-2</v>
      </c>
      <c r="W49" s="18"/>
      <c r="X49" s="53">
        <f t="shared" si="16"/>
        <v>5.1673682822043952E-2</v>
      </c>
      <c r="Y49" s="54">
        <f t="shared" si="17"/>
        <v>1.4294246573833558E-4</v>
      </c>
      <c r="Z49" s="56">
        <f t="shared" si="18"/>
        <v>1E-3</v>
      </c>
      <c r="AA49" s="56">
        <f t="shared" si="19"/>
        <v>0</v>
      </c>
      <c r="AC49" s="53">
        <f t="shared" si="20"/>
        <v>5.1673682822043952E-2</v>
      </c>
      <c r="AD49" s="54">
        <f t="shared" si="21"/>
        <v>1.4294246573833558E-4</v>
      </c>
      <c r="AE49" s="56">
        <f t="shared" si="22"/>
        <v>1E-3</v>
      </c>
      <c r="AF49" s="56">
        <f t="shared" si="23"/>
        <v>5.1540442389147033E-2</v>
      </c>
      <c r="AH49" s="42"/>
      <c r="AI49" s="18"/>
      <c r="AJ49" s="18"/>
      <c r="AM49" s="18"/>
      <c r="AN49" s="18"/>
    </row>
    <row r="50" spans="15:40" x14ac:dyDescent="0.35">
      <c r="O50" s="49">
        <v>80000</v>
      </c>
      <c r="P50" s="6" cm="1">
        <f t="array" ref="P50">_xlfn.IFS( AND($C$20="No",$C$33="Yes"), 1/((1/V50)+(1/AF50)), AND($C$20="Yes",$C$33="No"), 1/((1/V50)+(1/AA50)), AND($C$20="No",$C$33="No"), 1/((1/V50)), AND($C$20="Yes",$C$33="Yes"), 1/((1/V50)+(1/AA50)+(1/AF50)))</f>
        <v>1.9816449780152935E-2</v>
      </c>
      <c r="Q50" s="6">
        <f t="shared" si="11"/>
        <v>3.3272727272727266E-2</v>
      </c>
      <c r="S50" s="53">
        <f t="shared" si="13"/>
        <v>1.9894367886486922E-2</v>
      </c>
      <c r="T50" s="54">
        <f t="shared" si="14"/>
        <v>1.1561060965210438E-3</v>
      </c>
      <c r="U50" s="55">
        <f t="shared" si="15"/>
        <v>0.03</v>
      </c>
      <c r="V50" s="56">
        <f t="shared" si="12"/>
        <v>3.537120940693568E-2</v>
      </c>
      <c r="W50" s="18"/>
      <c r="X50" s="53">
        <f t="shared" si="16"/>
        <v>4.5214472469288454E-2</v>
      </c>
      <c r="Y50" s="54">
        <f t="shared" si="17"/>
        <v>1.6336281798666924E-4</v>
      </c>
      <c r="Z50" s="56">
        <f t="shared" si="18"/>
        <v>1E-3</v>
      </c>
      <c r="AA50" s="56">
        <f t="shared" si="19"/>
        <v>0</v>
      </c>
      <c r="AC50" s="53">
        <f t="shared" si="20"/>
        <v>4.5214472469288454E-2</v>
      </c>
      <c r="AD50" s="54">
        <f t="shared" si="21"/>
        <v>1.6336281798666924E-4</v>
      </c>
      <c r="AE50" s="56">
        <f t="shared" si="22"/>
        <v>1E-3</v>
      </c>
      <c r="AF50" s="56">
        <f t="shared" si="23"/>
        <v>4.5062206790320608E-2</v>
      </c>
      <c r="AH50" s="42"/>
      <c r="AI50" s="18"/>
      <c r="AJ50" s="18"/>
      <c r="AM50" s="18"/>
      <c r="AN50" s="18"/>
    </row>
    <row r="51" spans="15:40" x14ac:dyDescent="0.35">
      <c r="O51" s="49">
        <v>90000</v>
      </c>
      <c r="P51" s="6" cm="1">
        <f t="array" ref="P51">_xlfn.IFS( AND($C$20="No",$C$33="Yes"), 1/((1/V51)+(1/AF51)), AND($C$20="Yes",$C$33="No"), 1/((1/V51)+(1/AA51)), AND($C$20="No",$C$33="No"), 1/((1/V51)), AND($C$20="Yes",$C$33="Yes"), 1/((1/V51)+(1/AA51)+(1/AF51)))</f>
        <v>1.8435543161139052E-2</v>
      </c>
      <c r="Q51" s="6">
        <f t="shared" si="11"/>
        <v>3.3272727272727266E-2</v>
      </c>
      <c r="S51" s="53">
        <f t="shared" si="13"/>
        <v>1.7683882565766151E-2</v>
      </c>
      <c r="T51" s="54">
        <f t="shared" si="14"/>
        <v>1.3006193585861745E-3</v>
      </c>
      <c r="U51" s="55">
        <f t="shared" si="15"/>
        <v>0.03</v>
      </c>
      <c r="V51" s="56">
        <f t="shared" si="12"/>
        <v>3.4182032024379957E-2</v>
      </c>
      <c r="W51" s="18"/>
      <c r="X51" s="53">
        <f t="shared" si="16"/>
        <v>4.0190642194923062E-2</v>
      </c>
      <c r="Y51" s="54">
        <f t="shared" si="17"/>
        <v>1.8378317023500293E-4</v>
      </c>
      <c r="Z51" s="56">
        <f t="shared" si="18"/>
        <v>1E-3</v>
      </c>
      <c r="AA51" s="56">
        <f t="shared" si="19"/>
        <v>0</v>
      </c>
      <c r="AC51" s="53">
        <f t="shared" si="20"/>
        <v>4.0190642194923062E-2</v>
      </c>
      <c r="AD51" s="54">
        <f t="shared" si="21"/>
        <v>1.8378317023500293E-4</v>
      </c>
      <c r="AE51" s="56">
        <f t="shared" si="22"/>
        <v>1E-3</v>
      </c>
      <c r="AF51" s="56">
        <f t="shared" si="23"/>
        <v>4.0019354930099317E-2</v>
      </c>
      <c r="AH51" s="42"/>
      <c r="AI51" s="18"/>
      <c r="AJ51" s="18"/>
      <c r="AM51" s="18"/>
      <c r="AN51" s="18"/>
    </row>
    <row r="52" spans="15:40" x14ac:dyDescent="0.35">
      <c r="O52" s="49">
        <v>100000</v>
      </c>
      <c r="P52" s="6" cm="1">
        <f t="array" ref="P52">_xlfn.IFS( AND($C$20="No",$C$33="Yes"), 1/((1/V52)+(1/AF52)), AND($C$20="Yes",$C$33="No"), 1/((1/V52)+(1/AA52)), AND($C$20="No",$C$33="No"), 1/((1/V52)), AND($C$20="Yes",$C$33="Yes"), 1/((1/V52)+(1/AA52)+(1/AF52)))</f>
        <v>1.729640619464724E-2</v>
      </c>
      <c r="Q52" s="6">
        <f t="shared" si="11"/>
        <v>3.3272727272727266E-2</v>
      </c>
      <c r="S52" s="53">
        <f t="shared" si="13"/>
        <v>1.5915494309189537E-2</v>
      </c>
      <c r="T52" s="54">
        <f t="shared" si="14"/>
        <v>1.4451326206513047E-3</v>
      </c>
      <c r="U52" s="55">
        <f t="shared" si="15"/>
        <v>0.03</v>
      </c>
      <c r="V52" s="56">
        <f t="shared" si="12"/>
        <v>3.3307527188266545E-2</v>
      </c>
      <c r="W52" s="18"/>
      <c r="X52" s="53">
        <f t="shared" si="16"/>
        <v>3.617157797543076E-2</v>
      </c>
      <c r="Y52" s="54">
        <f t="shared" si="17"/>
        <v>2.0420352248333654E-4</v>
      </c>
      <c r="Z52" s="56">
        <f t="shared" si="18"/>
        <v>1E-3</v>
      </c>
      <c r="AA52" s="56">
        <f t="shared" si="19"/>
        <v>0</v>
      </c>
      <c r="AC52" s="53">
        <f t="shared" si="20"/>
        <v>3.617157797543076E-2</v>
      </c>
      <c r="AD52" s="54">
        <f t="shared" si="21"/>
        <v>2.0420352248333654E-4</v>
      </c>
      <c r="AE52" s="56">
        <f t="shared" si="22"/>
        <v>1E-3</v>
      </c>
      <c r="AF52" s="56">
        <f t="shared" si="23"/>
        <v>3.5981273254827091E-2</v>
      </c>
      <c r="AH52" s="42"/>
      <c r="AI52" s="18"/>
      <c r="AJ52" s="18"/>
      <c r="AM52" s="18"/>
      <c r="AN52" s="18"/>
    </row>
    <row r="53" spans="15:40" x14ac:dyDescent="0.35">
      <c r="O53" s="49">
        <v>200000</v>
      </c>
      <c r="P53" s="6" cm="1">
        <f t="array" ref="P53">_xlfn.IFS( AND($C$20="No",$C$33="Yes"), 1/((1/V53)+(1/AF53)), AND($C$20="Yes",$C$33="No"), 1/((1/V53)+(1/AA53)), AND($C$20="No",$C$33="No"), 1/((1/V53)), AND($C$20="Yes",$C$33="Yes"), 1/((1/V53)+(1/AA53)+(1/AF53)))</f>
        <v>1.1192330737429061E-2</v>
      </c>
      <c r="Q53" s="6">
        <f t="shared" si="11"/>
        <v>3.3272727272727266E-2</v>
      </c>
      <c r="S53" s="53">
        <f t="shared" si="13"/>
        <v>7.9577471545947687E-3</v>
      </c>
      <c r="T53" s="54">
        <f t="shared" si="14"/>
        <v>2.8902652413026093E-3</v>
      </c>
      <c r="U53" s="55">
        <f t="shared" si="15"/>
        <v>0.03</v>
      </c>
      <c r="V53" s="56">
        <f t="shared" si="12"/>
        <v>3.042497942384749E-2</v>
      </c>
      <c r="W53" s="18"/>
      <c r="X53" s="53">
        <f t="shared" si="16"/>
        <v>1.808578898771538E-2</v>
      </c>
      <c r="Y53" s="54">
        <f t="shared" si="17"/>
        <v>4.0840704496667308E-4</v>
      </c>
      <c r="Z53" s="56">
        <f t="shared" si="18"/>
        <v>1E-3</v>
      </c>
      <c r="AA53" s="56">
        <f t="shared" si="19"/>
        <v>0</v>
      </c>
      <c r="AC53" s="53">
        <f t="shared" si="20"/>
        <v>1.808578898771538E-2</v>
      </c>
      <c r="AD53" s="54">
        <f t="shared" si="21"/>
        <v>4.0840704496667308E-4</v>
      </c>
      <c r="AE53" s="56">
        <f t="shared" si="22"/>
        <v>1E-3</v>
      </c>
      <c r="AF53" s="56">
        <f t="shared" si="23"/>
        <v>1.7705644081755911E-2</v>
      </c>
      <c r="AH53" s="42"/>
      <c r="AI53" s="18"/>
      <c r="AJ53" s="18"/>
      <c r="AM53" s="18"/>
      <c r="AN53" s="18"/>
    </row>
    <row r="54" spans="15:40" x14ac:dyDescent="0.35">
      <c r="O54" s="49">
        <v>300000</v>
      </c>
      <c r="P54" s="6" cm="1">
        <f t="array" ref="P54">_xlfn.IFS( AND($C$20="No",$C$33="Yes"), 1/((1/V54)+(1/AF54)), AND($C$20="Yes",$C$33="No"), 1/((1/V54)+(1/AA54)), AND($C$20="No",$C$33="No"), 1/((1/V54)), AND($C$20="Yes",$C$33="Yes"), 1/((1/V54)+(1/AA54)+(1/AF54)))</f>
        <v>8.3082795816165692E-3</v>
      </c>
      <c r="Q54" s="6">
        <f t="shared" si="11"/>
        <v>3.3272727272727266E-2</v>
      </c>
      <c r="S54" s="53">
        <f t="shared" si="13"/>
        <v>5.3051647697298452E-3</v>
      </c>
      <c r="T54" s="54">
        <f t="shared" si="14"/>
        <v>4.335397861953914E-3</v>
      </c>
      <c r="U54" s="55">
        <f t="shared" si="15"/>
        <v>0.03</v>
      </c>
      <c r="V54" s="56">
        <f t="shared" si="12"/>
        <v>3.0015670038421885E-2</v>
      </c>
      <c r="W54" s="18"/>
      <c r="X54" s="53">
        <f t="shared" si="16"/>
        <v>1.205719265847692E-2</v>
      </c>
      <c r="Y54" s="54">
        <f t="shared" si="17"/>
        <v>6.126105674500097E-4</v>
      </c>
      <c r="Z54" s="56">
        <f t="shared" si="18"/>
        <v>1E-3</v>
      </c>
      <c r="AA54" s="56">
        <f t="shared" si="19"/>
        <v>0</v>
      </c>
      <c r="AC54" s="53">
        <f t="shared" si="20"/>
        <v>1.205719265847692E-2</v>
      </c>
      <c r="AD54" s="54">
        <f t="shared" si="21"/>
        <v>6.126105674500097E-4</v>
      </c>
      <c r="AE54" s="56">
        <f t="shared" si="22"/>
        <v>1E-3</v>
      </c>
      <c r="AF54" s="56">
        <f t="shared" si="23"/>
        <v>1.1488187813500174E-2</v>
      </c>
      <c r="AH54" s="42"/>
      <c r="AI54" s="18"/>
      <c r="AJ54" s="18"/>
      <c r="AM54" s="18"/>
      <c r="AN54" s="18"/>
    </row>
    <row r="55" spans="15:40" x14ac:dyDescent="0.35">
      <c r="O55" s="49">
        <v>400000</v>
      </c>
      <c r="P55" s="6" cm="1">
        <f t="array" ref="P55">_xlfn.IFS( AND($C$20="No",$C$33="Yes"), 1/((1/V55)+(1/AF55)), AND($C$20="Yes",$C$33="No"), 1/((1/V55)+(1/AA55)), AND($C$20="No",$C$33="No"), 1/((1/V55)), AND($C$20="Yes",$C$33="Yes"), 1/((1/V55)+(1/AA55)+(1/AF55)))</f>
        <v>6.4956339867855957E-3</v>
      </c>
      <c r="Q55" s="6">
        <f t="shared" si="11"/>
        <v>3.3272727272727266E-2</v>
      </c>
      <c r="S55" s="53">
        <f t="shared" si="13"/>
        <v>3.9788735772973843E-3</v>
      </c>
      <c r="T55" s="54">
        <f t="shared" si="14"/>
        <v>5.7805304826052187E-3</v>
      </c>
      <c r="U55" s="55">
        <f t="shared" si="15"/>
        <v>0.03</v>
      </c>
      <c r="V55" s="56">
        <f t="shared" si="12"/>
        <v>3.0054050768647533E-2</v>
      </c>
      <c r="W55" s="18"/>
      <c r="X55" s="53">
        <f t="shared" si="16"/>
        <v>9.0428944938576901E-3</v>
      </c>
      <c r="Y55" s="54">
        <f t="shared" si="17"/>
        <v>8.1681408993334616E-4</v>
      </c>
      <c r="Z55" s="56">
        <f t="shared" si="18"/>
        <v>1E-3</v>
      </c>
      <c r="AA55" s="56">
        <f t="shared" si="19"/>
        <v>0</v>
      </c>
      <c r="AC55" s="53">
        <f t="shared" si="20"/>
        <v>9.0428944938576901E-3</v>
      </c>
      <c r="AD55" s="54">
        <f t="shared" si="21"/>
        <v>8.1681408993334616E-4</v>
      </c>
      <c r="AE55" s="56">
        <f t="shared" si="22"/>
        <v>1E-3</v>
      </c>
      <c r="AF55" s="56">
        <f t="shared" si="23"/>
        <v>8.2866397780902781E-3</v>
      </c>
      <c r="AH55" s="42"/>
      <c r="AI55" s="18"/>
      <c r="AJ55" s="18"/>
      <c r="AM55" s="18"/>
      <c r="AN55" s="18"/>
    </row>
    <row r="56" spans="15:40" x14ac:dyDescent="0.35">
      <c r="O56" s="49">
        <v>500000</v>
      </c>
      <c r="P56" s="6" cm="1">
        <f t="array" ref="P56">_xlfn.IFS( AND($C$20="No",$C$33="Yes"), 1/((1/V56)+(1/AF56)), AND($C$20="Yes",$C$33="No"), 1/((1/V56)+(1/AA56)), AND($C$20="No",$C$33="No"), 1/((1/V56)), AND($C$20="Yes",$C$33="Yes"), 1/((1/V56)+(1/AA56)+(1/AF56)))</f>
        <v>5.2100967897278291E-3</v>
      </c>
      <c r="Q56" s="6">
        <f t="shared" si="11"/>
        <v>3.3272727272727266E-2</v>
      </c>
      <c r="S56" s="53">
        <f t="shared" si="13"/>
        <v>3.1830988618379071E-3</v>
      </c>
      <c r="T56" s="54">
        <f t="shared" si="14"/>
        <v>7.2256631032565233E-3</v>
      </c>
      <c r="U56" s="55">
        <f t="shared" si="15"/>
        <v>0.03</v>
      </c>
      <c r="V56" s="56">
        <f t="shared" si="12"/>
        <v>3.0271146751419849E-2</v>
      </c>
      <c r="W56" s="18"/>
      <c r="X56" s="53">
        <f t="shared" si="16"/>
        <v>7.2343155950861529E-3</v>
      </c>
      <c r="Y56" s="54">
        <f t="shared" si="17"/>
        <v>1.0210176124166828E-3</v>
      </c>
      <c r="Z56" s="56">
        <f t="shared" si="18"/>
        <v>1E-3</v>
      </c>
      <c r="AA56" s="56">
        <f t="shared" si="19"/>
        <v>0</v>
      </c>
      <c r="AC56" s="53">
        <f t="shared" si="20"/>
        <v>7.2343155950861529E-3</v>
      </c>
      <c r="AD56" s="54">
        <f t="shared" si="21"/>
        <v>1.0210176124166828E-3</v>
      </c>
      <c r="AE56" s="56">
        <f t="shared" si="22"/>
        <v>1E-3</v>
      </c>
      <c r="AF56" s="56">
        <f t="shared" si="23"/>
        <v>6.2932560587858257E-3</v>
      </c>
      <c r="AH56" s="42"/>
      <c r="AI56" s="18"/>
      <c r="AJ56" s="18"/>
      <c r="AM56" s="18"/>
      <c r="AN56" s="18"/>
    </row>
    <row r="57" spans="15:40" x14ac:dyDescent="0.35">
      <c r="O57" s="49">
        <v>600000</v>
      </c>
      <c r="P57" s="6" cm="1">
        <f t="array" ref="P57">_xlfn.IFS( AND($C$20="No",$C$33="Yes"), 1/((1/V57)+(1/AF57)), AND($C$20="Yes",$C$33="No"), 1/((1/V57)+(1/AA57)), AND($C$20="No",$C$33="No"), 1/((1/V57)), AND($C$20="Yes",$C$33="Yes"), 1/((1/V57)+(1/AA57)+(1/AF57)))</f>
        <v>4.2283459375119688E-3</v>
      </c>
      <c r="Q57" s="6">
        <f t="shared" si="11"/>
        <v>3.3272727272727266E-2</v>
      </c>
      <c r="S57" s="53">
        <f t="shared" si="13"/>
        <v>2.6525823848649226E-3</v>
      </c>
      <c r="T57" s="54">
        <f t="shared" si="14"/>
        <v>8.670795723907828E-3</v>
      </c>
      <c r="U57" s="55">
        <f t="shared" si="15"/>
        <v>0.03</v>
      </c>
      <c r="V57" s="56">
        <f t="shared" si="12"/>
        <v>3.0597694223490662E-2</v>
      </c>
      <c r="W57" s="18"/>
      <c r="X57" s="53">
        <f t="shared" si="16"/>
        <v>6.0285963292384601E-3</v>
      </c>
      <c r="Y57" s="54">
        <f t="shared" si="17"/>
        <v>1.2252211349000194E-3</v>
      </c>
      <c r="Z57" s="56">
        <f t="shared" si="18"/>
        <v>1E-3</v>
      </c>
      <c r="AA57" s="56">
        <f t="shared" si="19"/>
        <v>0</v>
      </c>
      <c r="AC57" s="53">
        <f t="shared" si="20"/>
        <v>6.0285963292384601E-3</v>
      </c>
      <c r="AD57" s="54">
        <f t="shared" si="21"/>
        <v>1.2252211349000194E-3</v>
      </c>
      <c r="AE57" s="56">
        <f t="shared" si="22"/>
        <v>1E-3</v>
      </c>
      <c r="AF57" s="56">
        <f t="shared" si="23"/>
        <v>4.906364566314437E-3</v>
      </c>
      <c r="AH57" s="42"/>
      <c r="AI57" s="18"/>
      <c r="AJ57" s="18"/>
      <c r="AM57" s="18"/>
      <c r="AN57" s="18"/>
    </row>
    <row r="58" spans="15:40" x14ac:dyDescent="0.35">
      <c r="O58" s="49">
        <v>700000</v>
      </c>
      <c r="P58" s="6" cm="1">
        <f t="array" ref="P58">_xlfn.IFS( AND($C$20="No",$C$33="Yes"), 1/((1/V58)+(1/AF58)), AND($C$20="Yes",$C$33="No"), 1/((1/V58)+(1/AA58)), AND($C$20="No",$C$33="No"), 1/((1/V58)), AND($C$20="Yes",$C$33="Yes"), 1/((1/V58)+(1/AA58)+(1/AF58)))</f>
        <v>3.4401151474703399E-3</v>
      </c>
      <c r="Q58" s="6">
        <f t="shared" si="11"/>
        <v>3.3272727272727266E-2</v>
      </c>
      <c r="S58" s="53">
        <f t="shared" si="13"/>
        <v>2.273642044169934E-3</v>
      </c>
      <c r="T58" s="54">
        <f t="shared" si="14"/>
        <v>1.0115928344559133E-2</v>
      </c>
      <c r="U58" s="55">
        <f t="shared" si="15"/>
        <v>0.03</v>
      </c>
      <c r="V58" s="56">
        <f t="shared" si="12"/>
        <v>3.100808691966133E-2</v>
      </c>
      <c r="W58" s="18"/>
      <c r="X58" s="53">
        <f t="shared" si="16"/>
        <v>5.1673682822043947E-3</v>
      </c>
      <c r="Y58" s="54">
        <f t="shared" si="17"/>
        <v>1.4294246573833558E-3</v>
      </c>
      <c r="Z58" s="56">
        <f t="shared" si="18"/>
        <v>1E-3</v>
      </c>
      <c r="AA58" s="56">
        <f t="shared" si="19"/>
        <v>0</v>
      </c>
      <c r="AC58" s="53">
        <f t="shared" si="20"/>
        <v>5.1673682822043947E-3</v>
      </c>
      <c r="AD58" s="54">
        <f t="shared" si="21"/>
        <v>1.4294246573833558E-3</v>
      </c>
      <c r="AE58" s="56">
        <f t="shared" si="22"/>
        <v>1E-3</v>
      </c>
      <c r="AF58" s="56">
        <f t="shared" si="23"/>
        <v>3.869395630113345E-3</v>
      </c>
      <c r="AH58" s="42"/>
      <c r="AI58" s="18"/>
      <c r="AJ58" s="18"/>
      <c r="AM58" s="18"/>
      <c r="AN58" s="18"/>
    </row>
    <row r="59" spans="15:40" x14ac:dyDescent="0.35">
      <c r="O59" s="49">
        <v>800000</v>
      </c>
      <c r="P59" s="6" cm="1">
        <f t="array" ref="P59">_xlfn.IFS( AND($C$20="No",$C$33="Yes"), 1/((1/V59)+(1/AF59)), AND($C$20="Yes",$C$33="No"), 1/((1/V59)+(1/AA59)), AND($C$20="No",$C$33="No"), 1/((1/V59)), AND($C$20="Yes",$C$33="Yes"), 1/((1/V59)+(1/AA59)+(1/AF59)))</f>
        <v>2.7857096901599135E-3</v>
      </c>
      <c r="Q59" s="6">
        <f t="shared" si="11"/>
        <v>3.3272727272727266E-2</v>
      </c>
      <c r="S59" s="53">
        <f t="shared" si="13"/>
        <v>1.9894367886486922E-3</v>
      </c>
      <c r="T59" s="54">
        <f t="shared" si="14"/>
        <v>1.1561060965210437E-2</v>
      </c>
      <c r="U59" s="55">
        <f t="shared" si="15"/>
        <v>0.03</v>
      </c>
      <c r="V59" s="56">
        <f t="shared" si="12"/>
        <v>3.1489934731233425E-2</v>
      </c>
      <c r="W59" s="18"/>
      <c r="X59" s="53">
        <f t="shared" si="16"/>
        <v>4.521447246928845E-3</v>
      </c>
      <c r="Y59" s="54">
        <f t="shared" si="17"/>
        <v>1.6336281798666923E-3</v>
      </c>
      <c r="Z59" s="56">
        <f t="shared" si="18"/>
        <v>1E-3</v>
      </c>
      <c r="AA59" s="56">
        <f t="shared" si="19"/>
        <v>0</v>
      </c>
      <c r="AC59" s="53">
        <f t="shared" si="20"/>
        <v>4.521447246928845E-3</v>
      </c>
      <c r="AD59" s="54">
        <f t="shared" si="21"/>
        <v>1.6336281798666923E-3</v>
      </c>
      <c r="AE59" s="56">
        <f t="shared" si="22"/>
        <v>1E-3</v>
      </c>
      <c r="AF59" s="56">
        <f t="shared" si="23"/>
        <v>3.0560593849085658E-3</v>
      </c>
      <c r="AH59" s="42"/>
      <c r="AI59" s="18"/>
      <c r="AJ59" s="18"/>
      <c r="AM59" s="18"/>
      <c r="AN59" s="18"/>
    </row>
    <row r="60" spans="15:40" x14ac:dyDescent="0.35">
      <c r="O60" s="49">
        <v>900000</v>
      </c>
      <c r="P60" s="6" cm="1">
        <f t="array" ref="P60">_xlfn.IFS( AND($C$20="No",$C$33="Yes"), 1/((1/V60)+(1/AF60)), AND($C$20="Yes",$C$33="No"), 1/((1/V60)+(1/AA60)), AND($C$20="No",$C$33="No"), 1/((1/V60)), AND($C$20="Yes",$C$33="Yes"), 1/((1/V60)+(1/AA60)+(1/AF60)))</f>
        <v>2.2323307240134788E-3</v>
      </c>
      <c r="Q60" s="6">
        <f t="shared" si="11"/>
        <v>3.3272727272727266E-2</v>
      </c>
      <c r="S60" s="53">
        <f t="shared" si="13"/>
        <v>1.7683882565766149E-3</v>
      </c>
      <c r="T60" s="54">
        <f t="shared" si="14"/>
        <v>1.3006193585861742E-2</v>
      </c>
      <c r="U60" s="55">
        <f t="shared" si="15"/>
        <v>0.03</v>
      </c>
      <c r="V60" s="56">
        <f t="shared" si="12"/>
        <v>3.2035734245041261E-2</v>
      </c>
      <c r="W60" s="18"/>
      <c r="X60" s="53">
        <f t="shared" si="16"/>
        <v>4.0190642194923073E-3</v>
      </c>
      <c r="Y60" s="54">
        <f t="shared" si="17"/>
        <v>1.8378317023500289E-3</v>
      </c>
      <c r="Z60" s="56">
        <f t="shared" si="18"/>
        <v>1E-3</v>
      </c>
      <c r="AA60" s="56">
        <f t="shared" si="19"/>
        <v>0</v>
      </c>
      <c r="AC60" s="53">
        <f t="shared" si="20"/>
        <v>4.0190642194923073E-3</v>
      </c>
      <c r="AD60" s="54">
        <f t="shared" si="21"/>
        <v>1.8378317023500289E-3</v>
      </c>
      <c r="AE60" s="56">
        <f t="shared" si="22"/>
        <v>1E-3</v>
      </c>
      <c r="AF60" s="56">
        <f t="shared" si="23"/>
        <v>2.3995364747881704E-3</v>
      </c>
      <c r="AH60" s="42"/>
      <c r="AI60" s="18"/>
      <c r="AJ60" s="18"/>
      <c r="AM60" s="18"/>
      <c r="AN60" s="18"/>
    </row>
    <row r="61" spans="15:40" x14ac:dyDescent="0.35">
      <c r="O61" s="49">
        <v>1000000</v>
      </c>
      <c r="P61" s="6" cm="1">
        <f t="array" ref="P61">_xlfn.IFS( AND($C$20="No",$C$33="Yes"), 1/((1/V61)+(1/AF61)), AND($C$20="Yes",$C$33="No"), 1/((1/V61)+(1/AA61)), AND($C$20="No",$C$33="No"), 1/((1/V61)), AND($C$20="Yes",$C$33="Yes"), 1/((1/V61)+(1/AA61)+(1/AF61)))</f>
        <v>1.764864921322766E-3</v>
      </c>
      <c r="Q61" s="6">
        <f t="shared" si="11"/>
        <v>3.3272727272727266E-2</v>
      </c>
      <c r="S61" s="53">
        <f t="shared" si="13"/>
        <v>1.5915494309189536E-3</v>
      </c>
      <c r="T61" s="54">
        <f t="shared" si="14"/>
        <v>1.4451326206513047E-2</v>
      </c>
      <c r="U61" s="55">
        <f t="shared" si="15"/>
        <v>0.03</v>
      </c>
      <c r="V61" s="56">
        <f t="shared" si="12"/>
        <v>3.2640065237650936E-2</v>
      </c>
      <c r="W61" s="18"/>
      <c r="X61" s="53">
        <f t="shared" si="16"/>
        <v>3.6171577975430765E-3</v>
      </c>
      <c r="Y61" s="54">
        <f t="shared" si="17"/>
        <v>2.0420352248333657E-3</v>
      </c>
      <c r="Z61" s="56">
        <f t="shared" si="18"/>
        <v>1E-3</v>
      </c>
      <c r="AA61" s="56">
        <f t="shared" si="19"/>
        <v>0</v>
      </c>
      <c r="AC61" s="53">
        <f t="shared" si="20"/>
        <v>3.6171577975430765E-3</v>
      </c>
      <c r="AD61" s="54">
        <f t="shared" si="21"/>
        <v>2.0420352248333657E-3</v>
      </c>
      <c r="AE61" s="56">
        <f t="shared" si="22"/>
        <v>1E-3</v>
      </c>
      <c r="AF61" s="56">
        <f t="shared" si="23"/>
        <v>1.8657467992896726E-3</v>
      </c>
      <c r="AH61" s="42"/>
      <c r="AI61" s="18"/>
      <c r="AJ61" s="18"/>
      <c r="AM61" s="18"/>
      <c r="AN61" s="18"/>
    </row>
    <row r="62" spans="15:40" x14ac:dyDescent="0.35">
      <c r="O62" s="49">
        <v>2000000</v>
      </c>
      <c r="P62" s="6" cm="1">
        <f t="array" ref="P62">_xlfn.IFS( AND($C$20="No",$C$33="Yes"), 1/((1/V62)+(1/AF62)), AND($C$20="Yes",$C$33="No"), 1/((1/V62)+(1/AA62)), AND($C$20="No",$C$33="No"), 1/((1/V62)), AND($C$20="Yes",$C$33="Yes"), 1/((1/V62)+(1/AA62)+(1/AF62)))</f>
        <v>2.3438204770022389E-3</v>
      </c>
      <c r="Q62" s="6">
        <f t="shared" si="11"/>
        <v>3.3272727272727266E-2</v>
      </c>
      <c r="S62" s="53">
        <f t="shared" si="13"/>
        <v>7.9577471545947678E-4</v>
      </c>
      <c r="T62" s="54">
        <f t="shared" si="14"/>
        <v>2.8902652413026093E-2</v>
      </c>
      <c r="U62" s="55">
        <f t="shared" si="15"/>
        <v>0.03</v>
      </c>
      <c r="V62" s="56">
        <f t="shared" si="12"/>
        <v>4.1109567911934659E-2</v>
      </c>
      <c r="W62" s="18"/>
      <c r="X62" s="53">
        <f t="shared" si="16"/>
        <v>1.8085788987715382E-3</v>
      </c>
      <c r="Y62" s="54">
        <f t="shared" si="17"/>
        <v>4.0840704496667313E-3</v>
      </c>
      <c r="Z62" s="56">
        <f t="shared" si="18"/>
        <v>1E-3</v>
      </c>
      <c r="AA62" s="56">
        <f t="shared" si="19"/>
        <v>0</v>
      </c>
      <c r="AC62" s="53">
        <f t="shared" si="20"/>
        <v>1.8085788987715382E-3</v>
      </c>
      <c r="AD62" s="54">
        <f t="shared" si="21"/>
        <v>4.0840704496667313E-3</v>
      </c>
      <c r="AE62" s="56">
        <f t="shared" si="22"/>
        <v>1E-3</v>
      </c>
      <c r="AF62" s="56">
        <f t="shared" si="23"/>
        <v>2.4855304862735866E-3</v>
      </c>
      <c r="AH62" s="42"/>
      <c r="AI62" s="18"/>
      <c r="AJ62" s="18"/>
      <c r="AM62" s="18"/>
      <c r="AN62" s="18"/>
    </row>
    <row r="63" spans="15:40" x14ac:dyDescent="0.35">
      <c r="O63" s="49">
        <v>3000000</v>
      </c>
      <c r="P63" s="6" cm="1">
        <f t="array" ref="P63">_xlfn.IFS( AND($C$20="No",$C$33="Yes"), 1/((1/V63)+(1/AF63)), AND($C$20="Yes",$C$33="No"), 1/((1/V63)+(1/AA63)), AND($C$20="No",$C$33="No"), 1/((1/V63)), AND($C$20="Yes",$C$33="Yes"), 1/((1/V63)+(1/AA63)+(1/AF63)))</f>
        <v>4.5810628684628679E-3</v>
      </c>
      <c r="Q63" s="6">
        <f t="shared" si="11"/>
        <v>3.3272727272727266E-2</v>
      </c>
      <c r="S63" s="53">
        <f t="shared" si="13"/>
        <v>5.3051647697298452E-4</v>
      </c>
      <c r="T63" s="54">
        <f t="shared" si="14"/>
        <v>4.3353978619539144E-2</v>
      </c>
      <c r="U63" s="55">
        <f t="shared" si="15"/>
        <v>0.03</v>
      </c>
      <c r="V63" s="56">
        <f t="shared" si="12"/>
        <v>5.2286221032656365E-2</v>
      </c>
      <c r="W63" s="18"/>
      <c r="X63" s="53">
        <f t="shared" si="16"/>
        <v>1.205719265847692E-3</v>
      </c>
      <c r="Y63" s="54">
        <f t="shared" si="17"/>
        <v>6.126105674500097E-3</v>
      </c>
      <c r="Z63" s="56">
        <f t="shared" si="18"/>
        <v>1E-3</v>
      </c>
      <c r="AA63" s="56">
        <f t="shared" si="19"/>
        <v>0</v>
      </c>
      <c r="AC63" s="53">
        <f t="shared" si="20"/>
        <v>1.205719265847692E-3</v>
      </c>
      <c r="AD63" s="54">
        <f t="shared" si="21"/>
        <v>6.126105674500097E-3</v>
      </c>
      <c r="AE63" s="56">
        <f t="shared" si="22"/>
        <v>1E-3</v>
      </c>
      <c r="AF63" s="56">
        <f t="shared" si="23"/>
        <v>5.0209762407774161E-3</v>
      </c>
      <c r="AH63" s="42"/>
      <c r="AI63" s="18"/>
      <c r="AJ63" s="18"/>
      <c r="AM63" s="18"/>
      <c r="AN63" s="18"/>
    </row>
    <row r="64" spans="15:40" x14ac:dyDescent="0.35">
      <c r="O64" s="49">
        <v>4000000</v>
      </c>
      <c r="P64" s="6" cm="1">
        <f t="array" ref="P64">_xlfn.IFS( AND($C$20="No",$C$33="Yes"), 1/((1/V64)+(1/AF64)), AND($C$20="Yes",$C$33="No"), 1/((1/V64)+(1/AA64)), AND($C$20="No",$C$33="No"), 1/((1/V64)), AND($C$20="Yes",$C$33="Yes"), 1/((1/V64)+(1/AA64)+(1/AF64)))</f>
        <v>6.5867432770407661E-3</v>
      </c>
      <c r="Q64" s="6">
        <f t="shared" si="11"/>
        <v>3.3272727272727266E-2</v>
      </c>
      <c r="S64" s="53">
        <f t="shared" si="13"/>
        <v>3.9788735772973839E-4</v>
      </c>
      <c r="T64" s="54">
        <f t="shared" si="14"/>
        <v>5.7805304826052187E-2</v>
      </c>
      <c r="U64" s="55">
        <f t="shared" si="15"/>
        <v>0.03</v>
      </c>
      <c r="V64" s="56">
        <f t="shared" si="12"/>
        <v>6.477354074297817E-2</v>
      </c>
      <c r="W64" s="18"/>
      <c r="X64" s="53">
        <f t="shared" si="16"/>
        <v>9.0428944938576912E-4</v>
      </c>
      <c r="Y64" s="54">
        <f t="shared" si="17"/>
        <v>8.1681408993334627E-3</v>
      </c>
      <c r="Z64" s="56">
        <f t="shared" si="18"/>
        <v>1E-3</v>
      </c>
      <c r="AA64" s="56">
        <f t="shared" si="19"/>
        <v>0</v>
      </c>
      <c r="AC64" s="53">
        <f t="shared" si="20"/>
        <v>9.0428944938576912E-4</v>
      </c>
      <c r="AD64" s="54">
        <f t="shared" si="21"/>
        <v>8.1681408993334627E-3</v>
      </c>
      <c r="AE64" s="56">
        <f t="shared" si="22"/>
        <v>1E-3</v>
      </c>
      <c r="AF64" s="56">
        <f t="shared" si="23"/>
        <v>7.3323623674029651E-3</v>
      </c>
      <c r="AH64" s="42"/>
      <c r="AI64" s="18"/>
      <c r="AJ64" s="18"/>
      <c r="AM64" s="18"/>
      <c r="AN64" s="18"/>
    </row>
    <row r="65" spans="15:40" x14ac:dyDescent="0.35">
      <c r="O65" s="49">
        <v>5000000</v>
      </c>
      <c r="P65" s="6" cm="1">
        <f t="array" ref="P65">_xlfn.IFS( AND($C$20="No",$C$33="Yes"), 1/((1/V65)+(1/AF65)), AND($C$20="Yes",$C$33="No"), 1/((1/V65)+(1/AA65)), AND($C$20="No",$C$33="No"), 1/((1/V65)), AND($C$20="Yes",$C$33="Yes"), 1/((1/V65)+(1/AA65)+(1/AF65)))</f>
        <v>8.4991137141930892E-3</v>
      </c>
      <c r="Q65" s="6">
        <f t="shared" si="11"/>
        <v>3.3272727272727266E-2</v>
      </c>
      <c r="S65" s="53">
        <f t="shared" si="13"/>
        <v>3.183098861837907E-4</v>
      </c>
      <c r="T65" s="54">
        <f t="shared" si="14"/>
        <v>7.2256631032565244E-2</v>
      </c>
      <c r="U65" s="55">
        <f t="shared" si="15"/>
        <v>0.03</v>
      </c>
      <c r="V65" s="56">
        <f t="shared" si="12"/>
        <v>7.7943069283675961E-2</v>
      </c>
      <c r="W65" s="18"/>
      <c r="X65" s="53">
        <f t="shared" si="16"/>
        <v>7.2343155950861519E-4</v>
      </c>
      <c r="Y65" s="54">
        <f t="shared" si="17"/>
        <v>1.0210176124166829E-2</v>
      </c>
      <c r="Z65" s="56">
        <f t="shared" si="18"/>
        <v>1E-3</v>
      </c>
      <c r="AA65" s="56">
        <f t="shared" si="19"/>
        <v>0</v>
      </c>
      <c r="AC65" s="53">
        <f t="shared" si="20"/>
        <v>7.2343155950861519E-4</v>
      </c>
      <c r="AD65" s="54">
        <f t="shared" si="21"/>
        <v>1.0210176124166829E-2</v>
      </c>
      <c r="AE65" s="56">
        <f t="shared" si="22"/>
        <v>1E-3</v>
      </c>
      <c r="AF65" s="56">
        <f t="shared" si="23"/>
        <v>9.5393040854703948E-3</v>
      </c>
      <c r="AH65" s="42"/>
      <c r="AI65" s="18"/>
      <c r="AJ65" s="18"/>
      <c r="AM65" s="18"/>
      <c r="AN65" s="18"/>
    </row>
    <row r="66" spans="15:40" x14ac:dyDescent="0.35">
      <c r="O66" s="49">
        <v>6000000</v>
      </c>
      <c r="P66" s="6" cm="1">
        <f t="array" ref="P66">_xlfn.IFS( AND($C$20="No",$C$33="Yes"), 1/((1/V66)+(1/AF66)), AND($C$20="Yes",$C$33="No"), 1/((1/V66)+(1/AA66)), AND($C$20="No",$C$33="No"), 1/((1/V66)), AND($C$20="Yes",$C$33="Yes"), 1/((1/V66)+(1/AA66)+(1/AF66)))</f>
        <v>1.0367415836297321E-2</v>
      </c>
      <c r="Q66" s="6">
        <f t="shared" si="11"/>
        <v>3.3272727272727266E-2</v>
      </c>
      <c r="S66" s="53">
        <f t="shared" si="13"/>
        <v>2.6525823848649226E-4</v>
      </c>
      <c r="T66" s="54">
        <f t="shared" si="14"/>
        <v>8.6707957239078287E-2</v>
      </c>
      <c r="U66" s="55">
        <f t="shared" si="15"/>
        <v>0.03</v>
      </c>
      <c r="V66" s="56">
        <f t="shared" si="12"/>
        <v>9.1500492952261814E-2</v>
      </c>
      <c r="W66" s="18"/>
      <c r="X66" s="53">
        <f t="shared" si="16"/>
        <v>6.0285963292384601E-4</v>
      </c>
      <c r="Y66" s="54">
        <f t="shared" si="17"/>
        <v>1.2252211349000194E-2</v>
      </c>
      <c r="Z66" s="56">
        <f t="shared" si="18"/>
        <v>1E-3</v>
      </c>
      <c r="AA66" s="56">
        <f t="shared" si="19"/>
        <v>0</v>
      </c>
      <c r="AC66" s="53">
        <f t="shared" si="20"/>
        <v>6.0285963292384601E-4</v>
      </c>
      <c r="AD66" s="54">
        <f t="shared" si="21"/>
        <v>1.2252211349000194E-2</v>
      </c>
      <c r="AE66" s="56">
        <f t="shared" si="22"/>
        <v>1E-3</v>
      </c>
      <c r="AF66" s="56">
        <f t="shared" si="23"/>
        <v>1.169219378067482E-2</v>
      </c>
      <c r="AH66" s="42"/>
      <c r="AI66" s="18"/>
      <c r="AJ66" s="18"/>
      <c r="AM66" s="18"/>
      <c r="AN66" s="18"/>
    </row>
    <row r="67" spans="15:40" x14ac:dyDescent="0.35">
      <c r="O67" s="49">
        <v>7000000</v>
      </c>
      <c r="P67" s="6" cm="1">
        <f t="array" ref="P67">_xlfn.IFS( AND($C$20="No",$C$33="Yes"), 1/((1/V67)+(1/AF67)), AND($C$20="Yes",$C$33="No"), 1/((1/V67)+(1/AA67)), AND($C$20="No",$C$33="No"), 1/((1/V67)), AND($C$20="Yes",$C$33="Yes"), 1/((1/V67)+(1/AA67)+(1/AF67)))</f>
        <v>1.2211703446930145E-2</v>
      </c>
      <c r="Q67" s="6">
        <f t="shared" si="11"/>
        <v>3.3272727272727266E-2</v>
      </c>
      <c r="S67" s="53">
        <f t="shared" si="13"/>
        <v>2.2736420441699337E-4</v>
      </c>
      <c r="T67" s="54">
        <f t="shared" si="14"/>
        <v>0.10115928344559133</v>
      </c>
      <c r="U67" s="55">
        <f t="shared" si="15"/>
        <v>0.03</v>
      </c>
      <c r="V67" s="56">
        <f t="shared" si="12"/>
        <v>0.10529602234513391</v>
      </c>
      <c r="W67" s="18"/>
      <c r="X67" s="53">
        <f t="shared" si="16"/>
        <v>5.1673682822043945E-4</v>
      </c>
      <c r="Y67" s="54">
        <f t="shared" si="17"/>
        <v>1.4294246573833559E-2</v>
      </c>
      <c r="Z67" s="56">
        <f t="shared" si="18"/>
        <v>1E-3</v>
      </c>
      <c r="AA67" s="56">
        <f t="shared" si="19"/>
        <v>0</v>
      </c>
      <c r="AC67" s="53">
        <f t="shared" si="20"/>
        <v>5.1673682822043945E-4</v>
      </c>
      <c r="AD67" s="54">
        <f t="shared" si="21"/>
        <v>1.4294246573833559E-2</v>
      </c>
      <c r="AE67" s="56">
        <f t="shared" si="22"/>
        <v>1E-3</v>
      </c>
      <c r="AF67" s="56">
        <f t="shared" si="23"/>
        <v>1.3813753102993572E-2</v>
      </c>
      <c r="AH67" s="42"/>
      <c r="AI67" s="18"/>
      <c r="AJ67" s="18"/>
      <c r="AM67" s="18"/>
      <c r="AN67" s="18"/>
    </row>
    <row r="68" spans="15:40" x14ac:dyDescent="0.35">
      <c r="O68" s="49">
        <v>8000000</v>
      </c>
      <c r="P68" s="6" cm="1">
        <f t="array" ref="P68">_xlfn.IFS( AND($C$20="No",$C$33="Yes"), 1/((1/V68)+(1/AF68)), AND($C$20="Yes",$C$33="No"), 1/((1/V68)+(1/AA68)), AND($C$20="No",$C$33="No"), 1/((1/V68)), AND($C$20="Yes",$C$33="Yes"), 1/((1/V68)+(1/AA68)+(1/AF68)))</f>
        <v>1.404150188507973E-2</v>
      </c>
      <c r="Q68" s="6">
        <f t="shared" si="11"/>
        <v>3.3272727272727266E-2</v>
      </c>
      <c r="S68" s="53">
        <f t="shared" si="13"/>
        <v>1.989436788648692E-4</v>
      </c>
      <c r="T68" s="54">
        <f t="shared" si="14"/>
        <v>0.11561060965210437</v>
      </c>
      <c r="U68" s="55">
        <f t="shared" si="15"/>
        <v>0.03</v>
      </c>
      <c r="V68" s="56">
        <f t="shared" si="12"/>
        <v>0.1192470236220536</v>
      </c>
      <c r="W68" s="18"/>
      <c r="X68" s="53">
        <f t="shared" si="16"/>
        <v>4.5214472469288456E-4</v>
      </c>
      <c r="Y68" s="54">
        <f t="shared" si="17"/>
        <v>1.6336281798666925E-2</v>
      </c>
      <c r="Z68" s="56">
        <f t="shared" si="18"/>
        <v>1E-3</v>
      </c>
      <c r="AA68" s="56">
        <f t="shared" si="19"/>
        <v>0</v>
      </c>
      <c r="AC68" s="53">
        <f t="shared" si="20"/>
        <v>4.5214472469288456E-4</v>
      </c>
      <c r="AD68" s="54">
        <f t="shared" si="21"/>
        <v>1.6336281798666925E-2</v>
      </c>
      <c r="AE68" s="56">
        <f t="shared" si="22"/>
        <v>1E-3</v>
      </c>
      <c r="AF68" s="56">
        <f t="shared" si="23"/>
        <v>1.5915583890790706E-2</v>
      </c>
      <c r="AH68" s="42"/>
      <c r="AI68" s="18"/>
      <c r="AJ68" s="18"/>
      <c r="AM68" s="18"/>
      <c r="AN68" s="18"/>
    </row>
    <row r="69" spans="15:40" x14ac:dyDescent="0.35">
      <c r="O69" s="49">
        <v>9000000</v>
      </c>
      <c r="P69" s="6" cm="1">
        <f t="array" ref="P69">_xlfn.IFS( AND($C$20="No",$C$33="Yes"), 1/((1/V69)+(1/AF69)), AND($C$20="Yes",$C$33="No"), 1/((1/V69)+(1/AA69)), AND($C$20="No",$C$33="No"), 1/((1/V69)), AND($C$20="Yes",$C$33="Yes"), 1/((1/V69)+(1/AA69)+(1/AF69)))</f>
        <v>1.5861888068883181E-2</v>
      </c>
      <c r="Q69" s="6">
        <f t="shared" si="11"/>
        <v>3.3272727272727266E-2</v>
      </c>
      <c r="S69" s="53">
        <f t="shared" si="13"/>
        <v>1.7683882565766153E-4</v>
      </c>
      <c r="T69" s="54">
        <f t="shared" si="14"/>
        <v>0.13006193585861742</v>
      </c>
      <c r="U69" s="55">
        <f t="shared" si="15"/>
        <v>0.03</v>
      </c>
      <c r="V69" s="56">
        <f t="shared" si="12"/>
        <v>0.13330468270567758</v>
      </c>
      <c r="W69" s="18"/>
      <c r="X69" s="53">
        <f t="shared" si="16"/>
        <v>4.0190642194923071E-4</v>
      </c>
      <c r="Y69" s="54">
        <f t="shared" si="17"/>
        <v>1.837831702350029E-2</v>
      </c>
      <c r="Z69" s="56">
        <f t="shared" si="18"/>
        <v>1E-3</v>
      </c>
      <c r="AA69" s="56">
        <f t="shared" si="19"/>
        <v>0</v>
      </c>
      <c r="AC69" s="53">
        <f t="shared" si="20"/>
        <v>4.0190642194923071E-4</v>
      </c>
      <c r="AD69" s="54">
        <f t="shared" si="21"/>
        <v>1.837831702350029E-2</v>
      </c>
      <c r="AE69" s="56">
        <f t="shared" si="22"/>
        <v>1E-3</v>
      </c>
      <c r="AF69" s="56">
        <f t="shared" si="23"/>
        <v>1.8004203345762273E-2</v>
      </c>
      <c r="AH69" s="42"/>
      <c r="AI69" s="18"/>
      <c r="AJ69" s="18"/>
      <c r="AM69" s="18"/>
      <c r="AN69" s="18"/>
    </row>
    <row r="70" spans="15:40" x14ac:dyDescent="0.35">
      <c r="O70" s="49">
        <v>10000000</v>
      </c>
      <c r="P70" s="6" cm="1">
        <f t="array" ref="P70">_xlfn.IFS( AND($C$20="No",$C$33="Yes"), 1/((1/V70)+(1/AF70)), AND($C$20="Yes",$C$33="No"), 1/((1/V70)+(1/AA70)), AND($C$20="No",$C$33="No"), 1/((1/V70)), AND($C$20="Yes",$C$33="Yes"), 1/((1/V70)+(1/AA70)+(1/AF70)))</f>
        <v>1.767581158245092E-2</v>
      </c>
      <c r="Q70" s="6">
        <f t="shared" si="11"/>
        <v>3.3272727272727266E-2</v>
      </c>
      <c r="S70" s="53">
        <f t="shared" si="13"/>
        <v>1.5915494309189535E-4</v>
      </c>
      <c r="T70" s="54">
        <f t="shared" si="14"/>
        <v>0.14451326206513049</v>
      </c>
      <c r="U70" s="55">
        <f t="shared" si="15"/>
        <v>0.03</v>
      </c>
      <c r="V70" s="56">
        <f t="shared" si="12"/>
        <v>0.1474384896931632</v>
      </c>
      <c r="W70" s="18"/>
      <c r="X70" s="53">
        <f t="shared" si="16"/>
        <v>3.6171577975430759E-4</v>
      </c>
      <c r="Y70" s="54">
        <f t="shared" si="17"/>
        <v>2.0420352248333658E-2</v>
      </c>
      <c r="Z70" s="56">
        <f t="shared" si="18"/>
        <v>1E-3</v>
      </c>
      <c r="AA70" s="56">
        <f t="shared" si="19"/>
        <v>0</v>
      </c>
      <c r="AC70" s="53">
        <f t="shared" si="20"/>
        <v>3.6171577975430759E-4</v>
      </c>
      <c r="AD70" s="54">
        <f t="shared" si="21"/>
        <v>2.0420352248333658E-2</v>
      </c>
      <c r="AE70" s="56">
        <f t="shared" si="22"/>
        <v>1E-3</v>
      </c>
      <c r="AF70" s="56">
        <f t="shared" si="23"/>
        <v>2.0083547918100065E-2</v>
      </c>
      <c r="AH70" s="42"/>
      <c r="AI70" s="18"/>
      <c r="AJ70" s="18"/>
      <c r="AM70" s="18"/>
      <c r="AN70" s="18"/>
    </row>
    <row r="71" spans="15:40" x14ac:dyDescent="0.35">
      <c r="O71" s="49">
        <v>20000000</v>
      </c>
      <c r="P71" s="6" cm="1">
        <f t="array" ref="P71">_xlfn.IFS( AND($C$20="No",$C$33="Yes"), 1/((1/V71)+(1/AF71)), AND($C$20="Yes",$C$33="No"), 1/((1/V71)+(1/AA71)), AND($C$20="No",$C$33="No"), 1/((1/V71)), AND($C$20="Yes",$C$33="Yes"), 1/((1/V71)+(1/AA71)+(1/AF71)))</f>
        <v>3.5677088986297151E-2</v>
      </c>
      <c r="Q71" s="6">
        <f t="shared" si="11"/>
        <v>3.3272727272727266E-2</v>
      </c>
      <c r="S71" s="53">
        <f t="shared" ref="S71:S88" si="24">1/(2*PI()*$O71*$C$12*$C$9*0.000001)</f>
        <v>7.9577471545947675E-5</v>
      </c>
      <c r="T71" s="54">
        <f t="shared" ref="T71:T88" si="25">2*PI()*$O71*((0.000000001*$C$11)/$C$12)</f>
        <v>0.28902652413026098</v>
      </c>
      <c r="U71" s="55">
        <f t="shared" ref="U71:U88" si="26">(0.001*$C$10)/$C$12</f>
        <v>0.03</v>
      </c>
      <c r="V71" s="56">
        <f t="shared" si="12"/>
        <v>0.29050015143437413</v>
      </c>
      <c r="W71" s="18"/>
      <c r="X71" s="53">
        <f t="shared" ref="X71:X88" si="27">1/(2*PI()*$O71*$C$24*$C$21*0.000001)</f>
        <v>1.808578898771538E-4</v>
      </c>
      <c r="Y71" s="54">
        <f t="shared" ref="Y71:Y88" si="28">2*PI()*$O71*((0.000000001*$C$23)/$C$24)</f>
        <v>4.0840704496667317E-2</v>
      </c>
      <c r="Z71" s="56">
        <f t="shared" ref="Z71:Z88" si="29">(0.001*$C$22)/$C$24</f>
        <v>1E-3</v>
      </c>
      <c r="AA71" s="56">
        <f t="shared" ref="AA71" si="30">IF($C$20="Yes", SQRT(Z71^(2)+ABS(X71-Y71)^(2)), 0)</f>
        <v>0</v>
      </c>
      <c r="AC71" s="53">
        <f t="shared" ref="AC71:AC88" si="31">1/(2*PI()*$O71*$C$37*$C$34*0.000001)</f>
        <v>1.808578898771538E-4</v>
      </c>
      <c r="AD71" s="54">
        <f t="shared" ref="AD71:AD88" si="32">2*PI()*$O71*((0.000000001*$C$36)/$C$37)</f>
        <v>4.0840704496667317E-2</v>
      </c>
      <c r="AE71" s="56">
        <f t="shared" ref="AE71:AE88" si="33">(0.001*$C$35)/$C$37</f>
        <v>1E-3</v>
      </c>
      <c r="AF71" s="56">
        <f t="shared" ref="AF71" si="34">IF($C$33="Yes", SQRT(AE71^(2)+ABS(AC71-AD71)^(2)), 0)</f>
        <v>4.0672141892058075E-2</v>
      </c>
      <c r="AH71" s="42"/>
      <c r="AI71" s="18"/>
      <c r="AJ71" s="18"/>
      <c r="AM71" s="18"/>
      <c r="AN71" s="18"/>
    </row>
    <row r="72" spans="15:40" x14ac:dyDescent="0.35">
      <c r="O72" s="49">
        <v>30000000</v>
      </c>
      <c r="P72" s="6" cm="1">
        <f t="array" ref="P72">_xlfn.IFS( AND($C$20="No",$C$33="Yes"), 1/((1/V72)+(1/AF72)), AND($C$20="Yes",$C$33="No"), 1/((1/V72)+(1/AA72)), AND($C$20="No",$C$33="No"), 1/((1/V72)), AND($C$20="Yes",$C$33="Yes"), 1/((1/V72)+(1/AA72)+(1/AF72)))</f>
        <v>5.360505067317177E-2</v>
      </c>
      <c r="Q72" s="6">
        <f t="shared" ref="Q72:Q88" si="35">$C$3/1000</f>
        <v>3.3272727272727266E-2</v>
      </c>
      <c r="S72" s="53">
        <f t="shared" si="24"/>
        <v>5.3051647697298461E-5</v>
      </c>
      <c r="T72" s="54">
        <f t="shared" si="25"/>
        <v>0.43353978619539141</v>
      </c>
      <c r="U72" s="55">
        <f t="shared" si="26"/>
        <v>0.03</v>
      </c>
      <c r="V72" s="56">
        <f t="shared" ref="V72:V88" si="36">SQRT(U72^(2)+ABS(S72-T72)^(2))</f>
        <v>0.43452358857583673</v>
      </c>
      <c r="W72" s="18"/>
      <c r="X72" s="53">
        <f t="shared" si="27"/>
        <v>1.2057192658476921E-4</v>
      </c>
      <c r="Y72" s="54">
        <f t="shared" si="28"/>
        <v>6.1261056745000965E-2</v>
      </c>
      <c r="Z72" s="56">
        <f t="shared" si="29"/>
        <v>1E-3</v>
      </c>
      <c r="AA72" s="56">
        <f t="shared" ref="AA72:AA88" si="37">IF($C$20="Yes", SQRT(Z72^(2)+ABS(X72-Y72)^(2)), 0)</f>
        <v>0</v>
      </c>
      <c r="AC72" s="53">
        <f t="shared" si="31"/>
        <v>1.2057192658476921E-4</v>
      </c>
      <c r="AD72" s="54">
        <f t="shared" si="32"/>
        <v>6.1261056745000965E-2</v>
      </c>
      <c r="AE72" s="56">
        <f t="shared" si="33"/>
        <v>1E-3</v>
      </c>
      <c r="AF72" s="56">
        <f t="shared" ref="AF72:AF88" si="38">IF($C$33="Yes", SQRT(AE72^(2)+ABS(AC72-AD72)^(2)), 0)</f>
        <v>6.1148662158962905E-2</v>
      </c>
      <c r="AH72" s="42"/>
      <c r="AI72" s="18"/>
      <c r="AJ72" s="18"/>
      <c r="AM72" s="18"/>
      <c r="AN72" s="18"/>
    </row>
    <row r="73" spans="15:40" x14ac:dyDescent="0.35">
      <c r="O73" s="49">
        <v>40000000</v>
      </c>
      <c r="P73" s="6" cm="1">
        <f t="array" ref="P73">_xlfn.IFS( AND($C$20="No",$C$33="Yes"), 1/((1/V73)+(1/AF73)), AND($C$20="Yes",$C$33="No"), 1/((1/V73)+(1/AA73)), AND($C$20="No",$C$33="No"), 1/((1/V73)), AND($C$20="Yes",$C$33="Yes"), 1/((1/V73)+(1/AA73)+(1/AF73)))</f>
        <v>7.1515028521540722E-2</v>
      </c>
      <c r="Q73" s="6">
        <f t="shared" si="35"/>
        <v>3.3272727272727266E-2</v>
      </c>
      <c r="S73" s="53">
        <f t="shared" si="24"/>
        <v>3.9788735772973838E-5</v>
      </c>
      <c r="T73" s="54">
        <f t="shared" si="25"/>
        <v>0.57805304826052195</v>
      </c>
      <c r="U73" s="55">
        <f t="shared" si="26"/>
        <v>0.03</v>
      </c>
      <c r="V73" s="56">
        <f t="shared" si="36"/>
        <v>0.57879126478068488</v>
      </c>
      <c r="W73" s="18"/>
      <c r="X73" s="53">
        <f t="shared" si="27"/>
        <v>9.0428944938576898E-5</v>
      </c>
      <c r="Y73" s="54">
        <f t="shared" si="28"/>
        <v>8.1681408993334634E-2</v>
      </c>
      <c r="Z73" s="56">
        <f t="shared" si="29"/>
        <v>1E-3</v>
      </c>
      <c r="AA73" s="56">
        <f t="shared" si="37"/>
        <v>0</v>
      </c>
      <c r="AC73" s="53">
        <f t="shared" si="31"/>
        <v>9.0428944938576898E-5</v>
      </c>
      <c r="AD73" s="54">
        <f t="shared" si="32"/>
        <v>8.1681408993334634E-2</v>
      </c>
      <c r="AE73" s="56">
        <f t="shared" si="33"/>
        <v>1E-3</v>
      </c>
      <c r="AF73" s="56">
        <f t="shared" si="38"/>
        <v>8.1597107946653133E-2</v>
      </c>
      <c r="AH73" s="42"/>
      <c r="AI73" s="18"/>
      <c r="AJ73" s="18"/>
      <c r="AM73" s="18"/>
      <c r="AN73" s="18"/>
    </row>
    <row r="74" spans="15:40" x14ac:dyDescent="0.35">
      <c r="O74" s="49">
        <v>50000000</v>
      </c>
      <c r="P74" s="6" cm="1">
        <f t="array" ref="P74">_xlfn.IFS( AND($C$20="No",$C$33="Yes"), 1/((1/V74)+(1/AF74)), AND($C$20="Yes",$C$33="No"), 1/((1/V74)+(1/AA74)), AND($C$20="No",$C$33="No"), 1/((1/V74)), AND($C$20="Yes",$C$33="Yes"), 1/((1/V74)+(1/AA74)+(1/AF74)))</f>
        <v>8.9417848026477134E-2</v>
      </c>
      <c r="Q74" s="6">
        <f t="shared" si="35"/>
        <v>3.3272727272727266E-2</v>
      </c>
      <c r="S74" s="53">
        <f t="shared" si="24"/>
        <v>3.1830988618379074E-5</v>
      </c>
      <c r="T74" s="54">
        <f t="shared" si="25"/>
        <v>0.72256631032565233</v>
      </c>
      <c r="U74" s="55">
        <f t="shared" si="26"/>
        <v>0.03</v>
      </c>
      <c r="V74" s="56">
        <f t="shared" si="36"/>
        <v>0.72315701879387073</v>
      </c>
      <c r="W74" s="18"/>
      <c r="X74" s="53">
        <f t="shared" si="27"/>
        <v>7.234315595086154E-5</v>
      </c>
      <c r="Y74" s="54">
        <f t="shared" si="28"/>
        <v>0.10210176124166827</v>
      </c>
      <c r="Z74" s="56">
        <f t="shared" si="29"/>
        <v>1E-3</v>
      </c>
      <c r="AA74" s="56">
        <f t="shared" si="37"/>
        <v>0</v>
      </c>
      <c r="AC74" s="53">
        <f t="shared" si="31"/>
        <v>7.234315595086154E-5</v>
      </c>
      <c r="AD74" s="54">
        <f t="shared" si="32"/>
        <v>0.10210176124166827</v>
      </c>
      <c r="AE74" s="56">
        <f t="shared" si="33"/>
        <v>1E-3</v>
      </c>
      <c r="AF74" s="56">
        <f t="shared" si="38"/>
        <v>0.10203431851543929</v>
      </c>
      <c r="AH74" s="42"/>
      <c r="AI74" s="18"/>
      <c r="AJ74" s="18"/>
      <c r="AM74" s="18"/>
      <c r="AN74" s="18"/>
    </row>
    <row r="75" spans="15:40" x14ac:dyDescent="0.35">
      <c r="O75" s="49">
        <v>60000000</v>
      </c>
      <c r="P75" s="6" cm="1">
        <f t="array" ref="P75">_xlfn.IFS( AND($C$20="No",$C$33="Yes"), 1/((1/V75)+(1/AF75)), AND($C$20="Yes",$C$33="No"), 1/((1/V75)+(1/AA75)), AND($C$20="No",$C$33="No"), 1/((1/V75)), AND($C$20="Yes",$C$33="Yes"), 1/((1/V75)+(1/AA75)+(1/AF75)))</f>
        <v>0.10731709565689058</v>
      </c>
      <c r="Q75" s="6">
        <f t="shared" si="35"/>
        <v>3.3272727272727266E-2</v>
      </c>
      <c r="S75" s="53">
        <f t="shared" si="24"/>
        <v>2.6525823848649231E-5</v>
      </c>
      <c r="T75" s="54">
        <f t="shared" si="25"/>
        <v>0.86707957239078282</v>
      </c>
      <c r="U75" s="55">
        <f t="shared" si="26"/>
        <v>0.03</v>
      </c>
      <c r="V75" s="56">
        <f t="shared" si="36"/>
        <v>0.86757189071626917</v>
      </c>
      <c r="W75" s="18"/>
      <c r="X75" s="53">
        <f t="shared" si="27"/>
        <v>6.0285963292384603E-5</v>
      </c>
      <c r="Y75" s="54">
        <f t="shared" si="28"/>
        <v>0.12252211349000193</v>
      </c>
      <c r="Z75" s="56">
        <f t="shared" si="29"/>
        <v>1E-3</v>
      </c>
      <c r="AA75" s="56">
        <f t="shared" si="37"/>
        <v>0</v>
      </c>
      <c r="AC75" s="53">
        <f t="shared" si="31"/>
        <v>6.0285963292384603E-5</v>
      </c>
      <c r="AD75" s="54">
        <f t="shared" si="32"/>
        <v>0.12252211349000193</v>
      </c>
      <c r="AE75" s="56">
        <f t="shared" si="33"/>
        <v>1E-3</v>
      </c>
      <c r="AF75" s="56">
        <f t="shared" si="38"/>
        <v>0.12246591036358467</v>
      </c>
      <c r="AH75" s="42"/>
      <c r="AI75" s="18"/>
      <c r="AJ75" s="18"/>
      <c r="AM75" s="18"/>
      <c r="AN75" s="18"/>
    </row>
    <row r="76" spans="15:40" x14ac:dyDescent="0.35">
      <c r="O76" s="49">
        <v>70000000</v>
      </c>
      <c r="P76" s="6" cm="1">
        <f t="array" ref="P76">_xlfn.IFS( AND($C$20="No",$C$33="Yes"), 1/((1/V76)+(1/AF76)), AND($C$20="Yes",$C$33="No"), 1/((1/V76)+(1/AA76)), AND($C$20="No",$C$33="No"), 1/((1/V76)), AND($C$20="Yes",$C$33="Yes"), 1/((1/V76)+(1/AA76)+(1/AF76)))</f>
        <v>0.1252143043667914</v>
      </c>
      <c r="Q76" s="6">
        <f t="shared" si="35"/>
        <v>3.3272727272727266E-2</v>
      </c>
      <c r="S76" s="53">
        <f t="shared" si="24"/>
        <v>2.2736420441699336E-5</v>
      </c>
      <c r="T76" s="54">
        <f t="shared" si="25"/>
        <v>1.0115928344559133</v>
      </c>
      <c r="U76" s="55">
        <f t="shared" si="26"/>
        <v>0.03</v>
      </c>
      <c r="V76" s="56">
        <f t="shared" si="36"/>
        <v>1.0120148532701947</v>
      </c>
      <c r="W76" s="18"/>
      <c r="X76" s="53">
        <f t="shared" si="27"/>
        <v>5.1673682822043948E-5</v>
      </c>
      <c r="Y76" s="54">
        <f t="shared" si="28"/>
        <v>0.14294246573833561</v>
      </c>
      <c r="Z76" s="56">
        <f t="shared" si="29"/>
        <v>1E-3</v>
      </c>
      <c r="AA76" s="56">
        <f t="shared" si="37"/>
        <v>0</v>
      </c>
      <c r="AC76" s="53">
        <f t="shared" si="31"/>
        <v>5.1673682822043948E-5</v>
      </c>
      <c r="AD76" s="54">
        <f t="shared" si="32"/>
        <v>0.14294246573833561</v>
      </c>
      <c r="AE76" s="56">
        <f t="shared" si="33"/>
        <v>1E-3</v>
      </c>
      <c r="AF76" s="56">
        <f t="shared" si="38"/>
        <v>0.14289429118845867</v>
      </c>
      <c r="AH76" s="42"/>
      <c r="AI76" s="18"/>
      <c r="AJ76" s="18"/>
      <c r="AM76" s="18"/>
      <c r="AN76" s="18"/>
    </row>
    <row r="77" spans="15:40" x14ac:dyDescent="0.35">
      <c r="O77" s="49">
        <v>80000000</v>
      </c>
      <c r="P77" s="6" cm="1">
        <f t="array" ref="P77">_xlfn.IFS( AND($C$20="No",$C$33="Yes"), 1/((1/V77)+(1/AF77)), AND($C$20="Yes",$C$33="No"), 1/((1/V77)+(1/AA77)), AND($C$20="No",$C$33="No"), 1/((1/V77)), AND($C$20="Yes",$C$33="Yes"), 1/((1/V77)+(1/AA77)+(1/AF77)))</f>
        <v>0.1431102395388667</v>
      </c>
      <c r="Q77" s="6">
        <f t="shared" si="35"/>
        <v>3.3272727272727266E-2</v>
      </c>
      <c r="S77" s="53">
        <f t="shared" si="24"/>
        <v>1.9894367886486919E-5</v>
      </c>
      <c r="T77" s="54">
        <f t="shared" si="25"/>
        <v>1.1561060965210439</v>
      </c>
      <c r="U77" s="55">
        <f t="shared" si="26"/>
        <v>0.03</v>
      </c>
      <c r="V77" s="56">
        <f t="shared" si="36"/>
        <v>1.156475380978303</v>
      </c>
      <c r="W77" s="18"/>
      <c r="X77" s="53">
        <f t="shared" si="27"/>
        <v>4.5214472469288449E-5</v>
      </c>
      <c r="Y77" s="54">
        <f t="shared" si="28"/>
        <v>0.16336281798666927</v>
      </c>
      <c r="Z77" s="56">
        <f t="shared" si="29"/>
        <v>1E-3</v>
      </c>
      <c r="AA77" s="56">
        <f t="shared" si="37"/>
        <v>0</v>
      </c>
      <c r="AC77" s="53">
        <f t="shared" si="31"/>
        <v>4.5214472469288449E-5</v>
      </c>
      <c r="AD77" s="54">
        <f t="shared" si="32"/>
        <v>0.16336281798666927</v>
      </c>
      <c r="AE77" s="56">
        <f t="shared" si="33"/>
        <v>1E-3</v>
      </c>
      <c r="AF77" s="56">
        <f t="shared" si="38"/>
        <v>0.16332066500483466</v>
      </c>
      <c r="AH77" s="42"/>
      <c r="AI77" s="18"/>
      <c r="AJ77" s="18"/>
      <c r="AM77" s="18"/>
      <c r="AN77" s="18"/>
    </row>
    <row r="78" spans="15:40" x14ac:dyDescent="0.35">
      <c r="O78" s="49">
        <v>90000000</v>
      </c>
      <c r="P78" s="6" cm="1">
        <f t="array" ref="P78">_xlfn.IFS( AND($C$20="No",$C$33="Yes"), 1/((1/V78)+(1/AF78)), AND($C$20="Yes",$C$33="No"), 1/((1/V78)+(1/AA78)), AND($C$20="No",$C$33="No"), 1/((1/V78)), AND($C$20="Yes",$C$33="Yes"), 1/((1/V78)+(1/AA78)+(1/AF78)))</f>
        <v>0.16100532602049722</v>
      </c>
      <c r="Q78" s="6">
        <f t="shared" si="35"/>
        <v>3.3272727272727266E-2</v>
      </c>
      <c r="S78" s="53">
        <f t="shared" si="24"/>
        <v>1.7683882565766149E-5</v>
      </c>
      <c r="T78" s="54">
        <f t="shared" si="25"/>
        <v>1.3006193585861743</v>
      </c>
      <c r="U78" s="55">
        <f t="shared" si="26"/>
        <v>0.03</v>
      </c>
      <c r="V78" s="56">
        <f t="shared" si="36"/>
        <v>1.3009476224052339</v>
      </c>
      <c r="W78" s="18"/>
      <c r="X78" s="53">
        <f t="shared" si="27"/>
        <v>4.0190642194923073E-5</v>
      </c>
      <c r="Y78" s="54">
        <f t="shared" si="28"/>
        <v>0.1837831702350029</v>
      </c>
      <c r="Z78" s="56">
        <f t="shared" si="29"/>
        <v>1E-3</v>
      </c>
      <c r="AA78" s="56">
        <f t="shared" si="37"/>
        <v>0</v>
      </c>
      <c r="AC78" s="53">
        <f t="shared" si="31"/>
        <v>4.0190642194923073E-5</v>
      </c>
      <c r="AD78" s="54">
        <f t="shared" si="32"/>
        <v>0.1837831702350029</v>
      </c>
      <c r="AE78" s="56">
        <f t="shared" si="33"/>
        <v>1E-3</v>
      </c>
      <c r="AF78" s="56">
        <f t="shared" si="38"/>
        <v>0.18374570076506022</v>
      </c>
      <c r="AH78" s="42"/>
      <c r="AI78" s="18"/>
      <c r="AJ78" s="18"/>
      <c r="AM78" s="18"/>
      <c r="AN78" s="18"/>
    </row>
    <row r="79" spans="15:40" x14ac:dyDescent="0.35">
      <c r="O79" s="49">
        <v>100000000</v>
      </c>
      <c r="P79" s="6" cm="1">
        <f t="array" ref="P79">_xlfn.IFS( AND($C$20="No",$C$33="Yes"), 1/((1/V79)+(1/AF79)), AND($C$20="Yes",$C$33="No"), 1/((1/V79)+(1/AA79)), AND($C$20="No",$C$33="No"), 1/((1/V79)), AND($C$20="Yes",$C$33="Yes"), 1/((1/V79)+(1/AA79)+(1/AF79)))</f>
        <v>0.17889981857761736</v>
      </c>
      <c r="Q79" s="6">
        <f t="shared" si="35"/>
        <v>3.3272727272727266E-2</v>
      </c>
      <c r="S79" s="53">
        <f t="shared" si="24"/>
        <v>1.5915494309189537E-5</v>
      </c>
      <c r="T79" s="54">
        <f t="shared" si="25"/>
        <v>1.4451326206513047</v>
      </c>
      <c r="U79" s="55">
        <f t="shared" si="26"/>
        <v>0.03</v>
      </c>
      <c r="V79" s="56">
        <f t="shared" si="36"/>
        <v>1.4454280651501863</v>
      </c>
      <c r="W79" s="18"/>
      <c r="X79" s="53">
        <f t="shared" si="27"/>
        <v>3.617157797543077E-5</v>
      </c>
      <c r="Y79" s="54">
        <f t="shared" si="28"/>
        <v>0.20420352248333654</v>
      </c>
      <c r="Z79" s="56">
        <f t="shared" si="29"/>
        <v>1E-3</v>
      </c>
      <c r="AA79" s="56">
        <f t="shared" si="37"/>
        <v>0</v>
      </c>
      <c r="AC79" s="53">
        <f t="shared" si="31"/>
        <v>3.617157797543077E-5</v>
      </c>
      <c r="AD79" s="54">
        <f t="shared" si="32"/>
        <v>0.20420352248333654</v>
      </c>
      <c r="AE79" s="56">
        <f t="shared" si="33"/>
        <v>1E-3</v>
      </c>
      <c r="AF79" s="56">
        <f t="shared" si="38"/>
        <v>0.2041697998620581</v>
      </c>
      <c r="AH79" s="42"/>
      <c r="AI79" s="18"/>
      <c r="AJ79" s="18"/>
      <c r="AM79" s="18"/>
      <c r="AN79" s="18"/>
    </row>
    <row r="80" spans="15:40" x14ac:dyDescent="0.35">
      <c r="O80" s="49">
        <v>200000000</v>
      </c>
      <c r="P80" s="6" cm="1">
        <f t="array" ref="P80">_xlfn.IFS( AND($C$20="No",$C$33="Yes"), 1/((1/V80)+(1/AF80)), AND($C$20="Yes",$C$33="No"), 1/((1/V80)+(1/AA80)), AND($C$20="No",$C$33="No"), 1/((1/V80)), AND($C$20="Yes",$C$33="Yes"), 1/((1/V80)+(1/AA80)+(1/AF80)))</f>
        <v>0.35783168274186927</v>
      </c>
      <c r="Q80" s="6">
        <f t="shared" si="35"/>
        <v>3.3272727272727266E-2</v>
      </c>
      <c r="S80" s="53">
        <f t="shared" si="24"/>
        <v>7.9577471545947685E-6</v>
      </c>
      <c r="T80" s="54">
        <f t="shared" si="25"/>
        <v>2.8902652413026093</v>
      </c>
      <c r="U80" s="55">
        <f t="shared" si="26"/>
        <v>0.03</v>
      </c>
      <c r="V80" s="56">
        <f t="shared" si="36"/>
        <v>2.890412974843795</v>
      </c>
      <c r="W80" s="18"/>
      <c r="X80" s="53">
        <f t="shared" si="27"/>
        <v>1.8085788987715385E-5</v>
      </c>
      <c r="Y80" s="54">
        <f t="shared" si="28"/>
        <v>0.40840704496667307</v>
      </c>
      <c r="Z80" s="56">
        <f t="shared" si="29"/>
        <v>1E-3</v>
      </c>
      <c r="AA80" s="56">
        <f t="shared" si="37"/>
        <v>0</v>
      </c>
      <c r="AC80" s="53">
        <f t="shared" si="31"/>
        <v>1.8085788987715385E-5</v>
      </c>
      <c r="AD80" s="54">
        <f t="shared" si="32"/>
        <v>0.40840704496667307</v>
      </c>
      <c r="AE80" s="56">
        <f t="shared" si="33"/>
        <v>1E-3</v>
      </c>
      <c r="AF80" s="56">
        <f t="shared" si="38"/>
        <v>0.40839018349886075</v>
      </c>
      <c r="AH80" s="42"/>
      <c r="AI80" s="18"/>
      <c r="AJ80" s="18"/>
      <c r="AM80" s="18"/>
      <c r="AN80" s="18"/>
    </row>
    <row r="81" spans="15:40" x14ac:dyDescent="0.35">
      <c r="O81" s="49">
        <v>300000000</v>
      </c>
      <c r="P81" s="6" cm="1">
        <f t="array" ref="P81">_xlfn.IFS( AND($C$20="No",$C$33="Yes"), 1/((1/V81)+(1/AF81)), AND($C$20="Yes",$C$33="No"), 1/((1/V81)+(1/AA81)), AND($C$20="No",$C$33="No"), 1/((1/V81)), AND($C$20="Yes",$C$33="Yes"), 1/((1/V81)+(1/AA81)+(1/AF81)))</f>
        <v>0.53675642463121231</v>
      </c>
      <c r="Q81" s="6">
        <f t="shared" si="35"/>
        <v>3.3272727272727266E-2</v>
      </c>
      <c r="S81" s="53">
        <f t="shared" si="24"/>
        <v>5.3051647697298451E-6</v>
      </c>
      <c r="T81" s="54">
        <f t="shared" si="25"/>
        <v>4.335397861953914</v>
      </c>
      <c r="U81" s="55">
        <f t="shared" si="26"/>
        <v>0.03</v>
      </c>
      <c r="V81" s="56">
        <f t="shared" si="36"/>
        <v>4.3354963523756673</v>
      </c>
      <c r="W81" s="18"/>
      <c r="X81" s="53">
        <f t="shared" si="27"/>
        <v>1.2057192658476922E-5</v>
      </c>
      <c r="Y81" s="54">
        <f t="shared" si="28"/>
        <v>0.61261056745000964</v>
      </c>
      <c r="Z81" s="56">
        <f t="shared" si="29"/>
        <v>1E-3</v>
      </c>
      <c r="AA81" s="56">
        <f t="shared" si="37"/>
        <v>0</v>
      </c>
      <c r="AC81" s="53">
        <f t="shared" si="31"/>
        <v>1.2057192658476922E-5</v>
      </c>
      <c r="AD81" s="54">
        <f t="shared" si="32"/>
        <v>0.61261056745000964</v>
      </c>
      <c r="AE81" s="56">
        <f t="shared" si="33"/>
        <v>1E-3</v>
      </c>
      <c r="AF81" s="56">
        <f t="shared" si="38"/>
        <v>0.61259932645206683</v>
      </c>
      <c r="AH81" s="42"/>
      <c r="AI81" s="18"/>
      <c r="AJ81" s="18"/>
      <c r="AM81" s="18"/>
      <c r="AN81" s="18"/>
    </row>
    <row r="82" spans="15:40" x14ac:dyDescent="0.35">
      <c r="O82" s="49">
        <v>400000000</v>
      </c>
      <c r="P82" s="6" cm="1">
        <f t="array" ref="P82">_xlfn.IFS( AND($C$20="No",$C$33="Yes"), 1/((1/V82)+(1/AF82)), AND($C$20="Yes",$C$33="No"), 1/((1/V82)+(1/AA82)), AND($C$20="No",$C$33="No"), 1/((1/V82)), AND($C$20="Yes",$C$33="Yes"), 1/((1/V82)+(1/AA82)+(1/AF82)))</f>
        <v>0.71567938631511441</v>
      </c>
      <c r="Q82" s="6">
        <f t="shared" si="35"/>
        <v>3.3272727272727266E-2</v>
      </c>
      <c r="S82" s="53">
        <f t="shared" si="24"/>
        <v>3.9788735772973843E-6</v>
      </c>
      <c r="T82" s="54">
        <f t="shared" si="25"/>
        <v>5.7805304826052186</v>
      </c>
      <c r="U82" s="55">
        <f t="shared" si="26"/>
        <v>0.03</v>
      </c>
      <c r="V82" s="56">
        <f t="shared" si="36"/>
        <v>5.7806043507875504</v>
      </c>
      <c r="W82" s="18"/>
      <c r="X82" s="53">
        <f t="shared" si="27"/>
        <v>9.0428944938576925E-6</v>
      </c>
      <c r="Y82" s="54">
        <f t="shared" si="28"/>
        <v>0.81681408993334614</v>
      </c>
      <c r="Z82" s="56">
        <f t="shared" si="29"/>
        <v>1E-3</v>
      </c>
      <c r="AA82" s="56">
        <f t="shared" si="37"/>
        <v>0</v>
      </c>
      <c r="AC82" s="53">
        <f t="shared" si="31"/>
        <v>9.0428944938576925E-6</v>
      </c>
      <c r="AD82" s="54">
        <f t="shared" si="32"/>
        <v>0.81681408993334614</v>
      </c>
      <c r="AE82" s="56">
        <f t="shared" si="33"/>
        <v>1E-3</v>
      </c>
      <c r="AF82" s="56">
        <f t="shared" si="38"/>
        <v>0.81680565917979642</v>
      </c>
      <c r="AH82" s="42"/>
      <c r="AI82" s="18"/>
      <c r="AJ82" s="18"/>
      <c r="AM82" s="18"/>
      <c r="AN82" s="18"/>
    </row>
    <row r="83" spans="15:40" x14ac:dyDescent="0.35">
      <c r="O83" s="49">
        <v>500000000</v>
      </c>
      <c r="P83" s="6" cm="1">
        <f t="array" ref="P83">_xlfn.IFS( AND($C$20="No",$C$33="Yes"), 1/((1/V83)+(1/AF83)), AND($C$20="Yes",$C$33="No"), 1/((1/V83)+(1/AA83)), AND($C$20="No",$C$33="No"), 1/((1/V83)), AND($C$20="Yes",$C$33="Yes"), 1/((1/V83)+(1/AA83)+(1/AF83)))</f>
        <v>0.89460163595265818</v>
      </c>
      <c r="Q83" s="6">
        <f t="shared" si="35"/>
        <v>3.3272727272727266E-2</v>
      </c>
      <c r="S83" s="53">
        <f t="shared" si="24"/>
        <v>3.1830988618379071E-6</v>
      </c>
      <c r="T83" s="54">
        <f t="shared" si="25"/>
        <v>7.2256631032565242</v>
      </c>
      <c r="U83" s="55">
        <f t="shared" si="26"/>
        <v>0.03</v>
      </c>
      <c r="V83" s="56">
        <f t="shared" si="36"/>
        <v>7.2257221979379223</v>
      </c>
      <c r="W83" s="18"/>
      <c r="X83" s="53">
        <f t="shared" si="27"/>
        <v>7.2343155950861528E-6</v>
      </c>
      <c r="Y83" s="54">
        <f t="shared" si="28"/>
        <v>1.0210176124166828</v>
      </c>
      <c r="Z83" s="56">
        <f t="shared" si="29"/>
        <v>1E-3</v>
      </c>
      <c r="AA83" s="56">
        <f t="shared" si="37"/>
        <v>0</v>
      </c>
      <c r="AC83" s="53">
        <f t="shared" si="31"/>
        <v>7.2343155950861528E-6</v>
      </c>
      <c r="AD83" s="54">
        <f t="shared" si="32"/>
        <v>1.0210176124166828</v>
      </c>
      <c r="AE83" s="56">
        <f t="shared" si="33"/>
        <v>1E-3</v>
      </c>
      <c r="AF83" s="56">
        <f t="shared" si="38"/>
        <v>1.0210108678119574</v>
      </c>
      <c r="AH83" s="42"/>
      <c r="AI83" s="18"/>
      <c r="AJ83" s="18"/>
      <c r="AM83" s="18"/>
      <c r="AN83" s="18"/>
    </row>
    <row r="84" spans="15:40" x14ac:dyDescent="0.35">
      <c r="O84" s="49">
        <v>600000000</v>
      </c>
      <c r="P84" s="6" cm="1">
        <f t="array" ref="P84">_xlfn.IFS( AND($C$20="No",$C$33="Yes"), 1/((1/V84)+(1/AF84)), AND($C$20="Yes",$C$33="No"), 1/((1/V84)+(1/AA84)), AND($C$20="No",$C$33="No"), 1/((1/V84)), AND($C$20="Yes",$C$33="Yes"), 1/((1/V84)+(1/AA84)+(1/AF84)))</f>
        <v>1.0735235295743879</v>
      </c>
      <c r="Q84" s="6">
        <f t="shared" si="35"/>
        <v>3.3272727272727266E-2</v>
      </c>
      <c r="S84" s="53">
        <f t="shared" si="24"/>
        <v>2.6525823848649226E-6</v>
      </c>
      <c r="T84" s="54">
        <f t="shared" si="25"/>
        <v>8.6707957239078279</v>
      </c>
      <c r="U84" s="55">
        <f t="shared" si="26"/>
        <v>0.03</v>
      </c>
      <c r="V84" s="56">
        <f t="shared" si="36"/>
        <v>8.6708449695370113</v>
      </c>
      <c r="W84" s="18"/>
      <c r="X84" s="53">
        <f t="shared" si="27"/>
        <v>6.0285963292384608E-6</v>
      </c>
      <c r="Y84" s="54">
        <f t="shared" si="28"/>
        <v>1.2252211349000193</v>
      </c>
      <c r="Z84" s="56">
        <f t="shared" si="29"/>
        <v>1E-3</v>
      </c>
      <c r="AA84" s="56">
        <f t="shared" si="37"/>
        <v>0</v>
      </c>
      <c r="AC84" s="53">
        <f t="shared" si="31"/>
        <v>6.0285963292384608E-6</v>
      </c>
      <c r="AD84" s="54">
        <f t="shared" si="32"/>
        <v>1.2252211349000193</v>
      </c>
      <c r="AE84" s="56">
        <f t="shared" si="33"/>
        <v>1E-3</v>
      </c>
      <c r="AF84" s="56">
        <f t="shared" si="38"/>
        <v>1.2252155143952277</v>
      </c>
      <c r="AH84" s="42"/>
      <c r="AI84" s="18"/>
      <c r="AJ84" s="18"/>
      <c r="AM84" s="18"/>
      <c r="AN84" s="18"/>
    </row>
    <row r="85" spans="15:40" x14ac:dyDescent="0.35">
      <c r="O85" s="49">
        <v>700000000</v>
      </c>
      <c r="P85" s="6" cm="1">
        <f t="array" ref="P85">_xlfn.IFS( AND($C$20="No",$C$33="Yes"), 1/((1/V85)+(1/AF85)), AND($C$20="Yes",$C$33="No"), 1/((1/V85)+(1/AA85)), AND($C$20="No",$C$33="No"), 1/((1/V85)), AND($C$20="Yes",$C$33="Yes"), 1/((1/V85)+(1/AA85)+(1/AF85)))</f>
        <v>1.2524452197606735</v>
      </c>
      <c r="Q85" s="6">
        <f t="shared" si="35"/>
        <v>3.3272727272727266E-2</v>
      </c>
      <c r="S85" s="53">
        <f t="shared" si="24"/>
        <v>2.2736420441699341E-6</v>
      </c>
      <c r="T85" s="54">
        <f t="shared" si="25"/>
        <v>10.115928344559133</v>
      </c>
      <c r="U85" s="55">
        <f t="shared" si="26"/>
        <v>0.03</v>
      </c>
      <c r="V85" s="56">
        <f t="shared" si="36"/>
        <v>10.115970555130144</v>
      </c>
      <c r="W85" s="18"/>
      <c r="X85" s="53">
        <f t="shared" si="27"/>
        <v>5.1673682822043948E-6</v>
      </c>
      <c r="Y85" s="54">
        <f t="shared" si="28"/>
        <v>1.4294246573833558</v>
      </c>
      <c r="Z85" s="56">
        <f t="shared" si="29"/>
        <v>1E-3</v>
      </c>
      <c r="AA85" s="56">
        <f t="shared" si="37"/>
        <v>0</v>
      </c>
      <c r="AC85" s="53">
        <f t="shared" si="31"/>
        <v>5.1673682822043948E-6</v>
      </c>
      <c r="AD85" s="54">
        <f t="shared" si="32"/>
        <v>1.4294246573833558</v>
      </c>
      <c r="AE85" s="56">
        <f t="shared" si="33"/>
        <v>1E-3</v>
      </c>
      <c r="AF85" s="56">
        <f t="shared" si="38"/>
        <v>1.4294198398073792</v>
      </c>
      <c r="AH85" s="42"/>
      <c r="AI85" s="18"/>
      <c r="AJ85" s="18"/>
      <c r="AM85" s="18"/>
      <c r="AN85" s="18"/>
    </row>
    <row r="86" spans="15:40" x14ac:dyDescent="0.35">
      <c r="O86" s="49">
        <v>800000000</v>
      </c>
      <c r="P86" s="6" cm="1">
        <f t="array" ref="P86">_xlfn.IFS( AND($C$20="No",$C$33="Yes"), 1/((1/V86)+(1/AF86)), AND($C$20="Yes",$C$33="No"), 1/((1/V86)+(1/AA86)), AND($C$20="No",$C$33="No"), 1/((1/V86)), AND($C$20="Yes",$C$33="Yes"), 1/((1/V86)+(1/AA86)+(1/AF86)))</f>
        <v>1.4313667828005969</v>
      </c>
      <c r="Q86" s="6">
        <f t="shared" si="35"/>
        <v>3.3272727272727266E-2</v>
      </c>
      <c r="S86" s="53">
        <f t="shared" si="24"/>
        <v>1.9894367886486921E-6</v>
      </c>
      <c r="T86" s="54">
        <f t="shared" si="25"/>
        <v>11.561060965210437</v>
      </c>
      <c r="U86" s="55">
        <f t="shared" si="26"/>
        <v>0.03</v>
      </c>
      <c r="V86" s="56">
        <f t="shared" si="36"/>
        <v>11.561097899478078</v>
      </c>
      <c r="W86" s="18"/>
      <c r="X86" s="53">
        <f t="shared" si="27"/>
        <v>4.5214472469288463E-6</v>
      </c>
      <c r="Y86" s="54">
        <f t="shared" si="28"/>
        <v>1.6336281798666923</v>
      </c>
      <c r="Z86" s="56">
        <f t="shared" si="29"/>
        <v>1E-3</v>
      </c>
      <c r="AA86" s="56">
        <f t="shared" si="37"/>
        <v>0</v>
      </c>
      <c r="AC86" s="53">
        <f t="shared" si="31"/>
        <v>4.5214472469288463E-6</v>
      </c>
      <c r="AD86" s="54">
        <f t="shared" si="32"/>
        <v>1.6336281798666923</v>
      </c>
      <c r="AE86" s="56">
        <f t="shared" si="33"/>
        <v>1E-3</v>
      </c>
      <c r="AF86" s="56">
        <f t="shared" si="38"/>
        <v>1.6336239644874622</v>
      </c>
      <c r="AH86" s="42"/>
      <c r="AI86" s="18"/>
      <c r="AJ86" s="18"/>
      <c r="AM86" s="18"/>
      <c r="AN86" s="18"/>
    </row>
    <row r="87" spans="15:40" x14ac:dyDescent="0.35">
      <c r="O87" s="49">
        <v>900000000</v>
      </c>
      <c r="P87" s="6" cm="1">
        <f t="array" ref="P87">_xlfn.IFS( AND($C$20="No",$C$33="Yes"), 1/((1/V87)+(1/AF87)), AND($C$20="Yes",$C$33="No"), 1/((1/V87)+(1/AA87)), AND($C$20="No",$C$33="No"), 1/((1/V87)), AND($C$20="Yes",$C$33="Yes"), 1/((1/V87)+(1/AA87)+(1/AF87)))</f>
        <v>1.6102882610766152</v>
      </c>
      <c r="Q87" s="6">
        <f t="shared" si="35"/>
        <v>3.3272727272727266E-2</v>
      </c>
      <c r="S87" s="53">
        <f t="shared" si="24"/>
        <v>1.7683882565766148E-6</v>
      </c>
      <c r="T87" s="54">
        <f t="shared" si="25"/>
        <v>13.006193585861745</v>
      </c>
      <c r="U87" s="55">
        <f t="shared" si="26"/>
        <v>0.03</v>
      </c>
      <c r="V87" s="56">
        <f t="shared" si="36"/>
        <v>13.006226416332844</v>
      </c>
      <c r="W87" s="18"/>
      <c r="X87" s="53">
        <f t="shared" si="27"/>
        <v>4.0190642194923058E-6</v>
      </c>
      <c r="Y87" s="54">
        <f t="shared" si="28"/>
        <v>1.8378317023500292</v>
      </c>
      <c r="Z87" s="56">
        <f t="shared" si="29"/>
        <v>1E-3</v>
      </c>
      <c r="AA87" s="56">
        <f t="shared" si="37"/>
        <v>0</v>
      </c>
      <c r="AC87" s="53">
        <f t="shared" si="31"/>
        <v>4.0190642194923058E-6</v>
      </c>
      <c r="AD87" s="54">
        <f t="shared" si="32"/>
        <v>1.8378317023500292</v>
      </c>
      <c r="AE87" s="56">
        <f t="shared" si="33"/>
        <v>1E-3</v>
      </c>
      <c r="AF87" s="56">
        <f t="shared" si="38"/>
        <v>1.8378279553461163</v>
      </c>
      <c r="AH87" s="42"/>
      <c r="AI87" s="18"/>
      <c r="AJ87" s="18"/>
      <c r="AM87" s="18"/>
      <c r="AN87" s="18"/>
    </row>
    <row r="88" spans="15:40" x14ac:dyDescent="0.35">
      <c r="O88" s="49">
        <v>1000000000</v>
      </c>
      <c r="P88" s="6" cm="1">
        <f t="array" ref="P88">_xlfn.IFS( AND($C$20="No",$C$33="Yes"), 1/((1/V88)+(1/AF88)), AND($C$20="Yes",$C$33="No"), 1/((1/V88)+(1/AA88)), AND($C$20="No",$C$33="No"), 1/((1/V88)), AND($C$20="Yes",$C$33="Yes"), 1/((1/V88)+(1/AA88)+(1/AF88)))</f>
        <v>1.7892096800180577</v>
      </c>
      <c r="Q88" s="6">
        <f t="shared" si="35"/>
        <v>3.3272727272727266E-2</v>
      </c>
      <c r="S88" s="53">
        <f t="shared" si="24"/>
        <v>1.5915494309189535E-6</v>
      </c>
      <c r="T88" s="54">
        <f t="shared" si="25"/>
        <v>14.451326206513048</v>
      </c>
      <c r="U88" s="55">
        <f t="shared" si="26"/>
        <v>0.03</v>
      </c>
      <c r="V88" s="56">
        <f t="shared" si="36"/>
        <v>14.451355753944103</v>
      </c>
      <c r="W88" s="18"/>
      <c r="X88" s="53">
        <f t="shared" si="27"/>
        <v>3.6171577975430764E-6</v>
      </c>
      <c r="Y88" s="54">
        <f t="shared" si="28"/>
        <v>2.0420352248333655</v>
      </c>
      <c r="Z88" s="56">
        <f t="shared" si="29"/>
        <v>1E-3</v>
      </c>
      <c r="AA88" s="56">
        <f t="shared" si="37"/>
        <v>0</v>
      </c>
      <c r="AC88" s="53">
        <f t="shared" si="31"/>
        <v>3.6171577975430764E-6</v>
      </c>
      <c r="AD88" s="54">
        <f t="shared" si="32"/>
        <v>2.0420352248333655</v>
      </c>
      <c r="AE88" s="56">
        <f t="shared" si="33"/>
        <v>1E-3</v>
      </c>
      <c r="AF88" s="56">
        <f t="shared" si="38"/>
        <v>2.0420318525297456</v>
      </c>
      <c r="AH88" s="42"/>
      <c r="AI88" s="18"/>
      <c r="AJ88" s="18"/>
      <c r="AM88" s="18"/>
      <c r="AN88" s="18"/>
    </row>
    <row r="89" spans="15:40" x14ac:dyDescent="0.35">
      <c r="AD89" s="18"/>
      <c r="AE89" s="18"/>
      <c r="AF89" s="18"/>
      <c r="AH89" s="18"/>
      <c r="AI89" s="18"/>
      <c r="AJ89" s="18"/>
      <c r="AM89" s="18"/>
      <c r="AN89" s="18"/>
    </row>
    <row r="90" spans="15:40" x14ac:dyDescent="0.35">
      <c r="AD90" s="18"/>
      <c r="AE90" s="18"/>
      <c r="AF90" s="18"/>
      <c r="AH90" s="18"/>
      <c r="AI90" s="18"/>
      <c r="AJ90" s="18"/>
      <c r="AM90" s="18"/>
      <c r="AN90" s="18"/>
    </row>
    <row r="91" spans="15:40" x14ac:dyDescent="0.35">
      <c r="AD91" s="18"/>
      <c r="AE91" s="18"/>
      <c r="AF91" s="18"/>
      <c r="AH91" s="18"/>
      <c r="AI91" s="18"/>
      <c r="AJ91" s="18"/>
      <c r="AM91" s="18"/>
      <c r="AN91" s="18"/>
    </row>
    <row r="92" spans="15:40" x14ac:dyDescent="0.35">
      <c r="AD92" s="18"/>
      <c r="AE92" s="18"/>
      <c r="AF92" s="18"/>
      <c r="AH92" s="18"/>
      <c r="AI92" s="18"/>
      <c r="AJ92" s="18"/>
      <c r="AM92" s="18"/>
      <c r="AN92" s="18"/>
    </row>
    <row r="93" spans="15:40" x14ac:dyDescent="0.35">
      <c r="AD93" s="18"/>
      <c r="AE93" s="18"/>
      <c r="AF93" s="18"/>
      <c r="AH93" s="18"/>
      <c r="AI93" s="18"/>
      <c r="AJ93" s="18"/>
      <c r="AM93" s="18"/>
      <c r="AN93" s="18"/>
    </row>
    <row r="94" spans="15:40" x14ac:dyDescent="0.35">
      <c r="AD94" s="18"/>
      <c r="AE94" s="18"/>
      <c r="AF94" s="18"/>
      <c r="AH94" s="18"/>
      <c r="AI94" s="18"/>
      <c r="AJ94" s="18"/>
      <c r="AM94" s="18"/>
      <c r="AN94" s="18"/>
    </row>
    <row r="95" spans="15:40" x14ac:dyDescent="0.35">
      <c r="AD95" s="18"/>
      <c r="AE95" s="18"/>
      <c r="AF95" s="18"/>
      <c r="AH95" s="18"/>
      <c r="AI95" s="18"/>
      <c r="AJ95" s="18"/>
      <c r="AM95" s="18"/>
      <c r="AN95" s="18"/>
    </row>
    <row r="96" spans="15:40" x14ac:dyDescent="0.35">
      <c r="AD96" s="18"/>
      <c r="AE96" s="18"/>
      <c r="AF96" s="18"/>
      <c r="AH96" s="18"/>
      <c r="AI96" s="18"/>
      <c r="AJ96" s="18"/>
      <c r="AM96" s="18"/>
      <c r="AN96" s="18"/>
    </row>
    <row r="97" spans="30:40" x14ac:dyDescent="0.35">
      <c r="AD97" s="18"/>
      <c r="AE97" s="18"/>
      <c r="AF97" s="18"/>
      <c r="AH97" s="18"/>
      <c r="AI97" s="18"/>
      <c r="AJ97" s="18"/>
      <c r="AM97" s="18"/>
      <c r="AN97" s="18"/>
    </row>
    <row r="98" spans="30:40" x14ac:dyDescent="0.35">
      <c r="AD98" s="18"/>
      <c r="AE98" s="18"/>
      <c r="AF98" s="18"/>
      <c r="AH98" s="18"/>
      <c r="AI98" s="18"/>
      <c r="AJ98" s="18"/>
      <c r="AM98" s="18"/>
      <c r="AN98" s="18"/>
    </row>
    <row r="99" spans="30:40" x14ac:dyDescent="0.35">
      <c r="AD99" s="18"/>
      <c r="AE99" s="18"/>
      <c r="AF99" s="18"/>
      <c r="AH99" s="18"/>
      <c r="AI99" s="18"/>
      <c r="AJ99" s="18"/>
      <c r="AM99" s="18"/>
      <c r="AN99" s="18"/>
    </row>
    <row r="100" spans="30:40" x14ac:dyDescent="0.35">
      <c r="AD100" s="18"/>
      <c r="AE100" s="18"/>
      <c r="AF100" s="18"/>
      <c r="AH100" s="18"/>
      <c r="AI100" s="18"/>
      <c r="AJ100" s="18"/>
      <c r="AM100" s="18"/>
      <c r="AN100" s="18"/>
    </row>
    <row r="101" spans="30:40" x14ac:dyDescent="0.35">
      <c r="AD101" s="18"/>
      <c r="AE101" s="18"/>
      <c r="AF101" s="18"/>
      <c r="AH101" s="18"/>
      <c r="AI101" s="18"/>
      <c r="AJ101" s="18"/>
      <c r="AM101" s="18"/>
      <c r="AN101" s="18"/>
    </row>
    <row r="102" spans="30:40" x14ac:dyDescent="0.35">
      <c r="AD102" s="18"/>
      <c r="AE102" s="18"/>
      <c r="AF102" s="18"/>
      <c r="AH102" s="18"/>
      <c r="AI102" s="18"/>
      <c r="AJ102" s="18"/>
      <c r="AM102" s="18"/>
      <c r="AN102" s="18"/>
    </row>
    <row r="103" spans="30:40" x14ac:dyDescent="0.35">
      <c r="AD103" s="18"/>
      <c r="AE103" s="18"/>
      <c r="AF103" s="18"/>
      <c r="AH103" s="18"/>
      <c r="AI103" s="18"/>
      <c r="AJ103" s="18"/>
      <c r="AM103" s="18"/>
      <c r="AN103" s="18"/>
    </row>
    <row r="104" spans="30:40" x14ac:dyDescent="0.35">
      <c r="AD104" s="18"/>
      <c r="AE104" s="18"/>
      <c r="AF104" s="18"/>
      <c r="AH104" s="18"/>
      <c r="AI104" s="18"/>
      <c r="AJ104" s="18"/>
      <c r="AM104" s="18"/>
      <c r="AN104" s="18"/>
    </row>
    <row r="105" spans="30:40" x14ac:dyDescent="0.35">
      <c r="AD105" s="18"/>
      <c r="AE105" s="18"/>
      <c r="AF105" s="18"/>
      <c r="AH105" s="18"/>
      <c r="AI105" s="18"/>
      <c r="AJ105" s="18"/>
      <c r="AM105" s="18"/>
      <c r="AN105" s="18"/>
    </row>
    <row r="106" spans="30:40" x14ac:dyDescent="0.35">
      <c r="AD106" s="18"/>
      <c r="AE106" s="18"/>
      <c r="AF106" s="18"/>
      <c r="AH106" s="18"/>
      <c r="AI106" s="18"/>
      <c r="AJ106" s="18"/>
      <c r="AM106" s="18"/>
      <c r="AN106" s="18"/>
    </row>
    <row r="107" spans="30:40" x14ac:dyDescent="0.35">
      <c r="AD107" s="18"/>
      <c r="AE107" s="18"/>
      <c r="AF107" s="18"/>
      <c r="AH107" s="18"/>
      <c r="AI107" s="18"/>
      <c r="AJ107" s="18"/>
      <c r="AM107" s="18"/>
      <c r="AN107" s="18"/>
    </row>
    <row r="108" spans="30:40" x14ac:dyDescent="0.35">
      <c r="AD108" s="18"/>
      <c r="AE108" s="18"/>
      <c r="AF108" s="18"/>
      <c r="AH108" s="18"/>
      <c r="AI108" s="18"/>
      <c r="AJ108" s="18"/>
      <c r="AM108" s="18"/>
      <c r="AN108" s="18"/>
    </row>
    <row r="109" spans="30:40" x14ac:dyDescent="0.35">
      <c r="AD109" s="18"/>
      <c r="AE109" s="18"/>
      <c r="AF109" s="18"/>
      <c r="AH109" s="18"/>
      <c r="AI109" s="18"/>
      <c r="AJ109" s="18"/>
      <c r="AM109" s="18"/>
      <c r="AN109" s="18"/>
    </row>
    <row r="110" spans="30:40" x14ac:dyDescent="0.35">
      <c r="AD110" s="18"/>
      <c r="AE110" s="18"/>
      <c r="AF110" s="18"/>
      <c r="AH110" s="18"/>
      <c r="AI110" s="18"/>
      <c r="AJ110" s="18"/>
      <c r="AM110" s="18"/>
      <c r="AN110" s="18"/>
    </row>
    <row r="111" spans="30:40" x14ac:dyDescent="0.35">
      <c r="AD111" s="18"/>
      <c r="AE111" s="18"/>
      <c r="AF111" s="18"/>
      <c r="AH111" s="18"/>
      <c r="AI111" s="18"/>
      <c r="AJ111" s="18"/>
      <c r="AM111" s="18"/>
      <c r="AN111" s="18"/>
    </row>
    <row r="112" spans="30:40" x14ac:dyDescent="0.35">
      <c r="AD112" s="18"/>
      <c r="AE112" s="18"/>
      <c r="AF112" s="18"/>
      <c r="AH112" s="18"/>
      <c r="AI112" s="18"/>
      <c r="AJ112" s="18"/>
      <c r="AM112" s="18"/>
      <c r="AN112" s="18"/>
    </row>
    <row r="113" spans="16:40" x14ac:dyDescent="0.35">
      <c r="AD113" s="18"/>
      <c r="AE113" s="18"/>
      <c r="AF113" s="18"/>
      <c r="AH113" s="18"/>
      <c r="AI113" s="18"/>
      <c r="AJ113" s="18"/>
      <c r="AM113" s="18"/>
      <c r="AN113" s="18"/>
    </row>
    <row r="114" spans="16:40" x14ac:dyDescent="0.35">
      <c r="AD114" s="18"/>
      <c r="AE114" s="18"/>
      <c r="AF114" s="18"/>
      <c r="AH114" s="18"/>
      <c r="AI114" s="18"/>
      <c r="AJ114" s="18"/>
      <c r="AM114" s="18"/>
      <c r="AN114" s="18"/>
    </row>
    <row r="115" spans="16:40" x14ac:dyDescent="0.35">
      <c r="AD115" s="18"/>
      <c r="AE115" s="18"/>
      <c r="AF115" s="18"/>
      <c r="AH115" s="18"/>
      <c r="AI115" s="18"/>
      <c r="AJ115" s="18"/>
      <c r="AM115" s="18"/>
      <c r="AN115" s="18"/>
    </row>
    <row r="116" spans="16:40" x14ac:dyDescent="0.35">
      <c r="AD116" s="18"/>
      <c r="AE116" s="18"/>
      <c r="AF116" s="18"/>
      <c r="AH116" s="18"/>
      <c r="AI116" s="18"/>
      <c r="AJ116" s="18"/>
      <c r="AM116" s="18"/>
      <c r="AN116" s="18"/>
    </row>
    <row r="117" spans="16:40" x14ac:dyDescent="0.35">
      <c r="AD117" s="18"/>
      <c r="AE117" s="18"/>
      <c r="AF117" s="18"/>
      <c r="AH117" s="18"/>
      <c r="AI117" s="18"/>
      <c r="AJ117" s="18"/>
      <c r="AM117" s="18"/>
      <c r="AN117" s="18"/>
    </row>
    <row r="118" spans="16:40" x14ac:dyDescent="0.35">
      <c r="P118" s="18"/>
      <c r="R118" s="18"/>
      <c r="S118" s="18"/>
      <c r="T118" s="18"/>
      <c r="U118" s="18"/>
      <c r="X118" s="18"/>
      <c r="Y118" s="18"/>
      <c r="Z118" s="18"/>
      <c r="AA118" s="18"/>
      <c r="AD118" s="18"/>
      <c r="AE118" s="18"/>
      <c r="AF118" s="18"/>
      <c r="AH118" s="18"/>
      <c r="AI118" s="18"/>
      <c r="AJ118" s="18"/>
      <c r="AM118" s="18"/>
      <c r="AN118" s="18"/>
    </row>
    <row r="119" spans="16:40" x14ac:dyDescent="0.35">
      <c r="P119" s="18"/>
      <c r="R119" s="18"/>
      <c r="S119" s="18"/>
      <c r="T119" s="18"/>
      <c r="U119" s="18"/>
      <c r="X119" s="18"/>
      <c r="Y119" s="18"/>
      <c r="Z119" s="18"/>
      <c r="AA119" s="18"/>
      <c r="AD119" s="18"/>
      <c r="AE119" s="18"/>
      <c r="AF119" s="18"/>
      <c r="AH119" s="18"/>
      <c r="AI119" s="18"/>
      <c r="AJ119" s="18"/>
      <c r="AM119" s="18"/>
      <c r="AN119" s="18"/>
    </row>
    <row r="120" spans="16:40" x14ac:dyDescent="0.35">
      <c r="P120" s="18"/>
      <c r="R120" s="18"/>
      <c r="S120" s="18"/>
      <c r="T120" s="18"/>
      <c r="U120" s="18"/>
      <c r="X120" s="18"/>
      <c r="Y120" s="18"/>
      <c r="Z120" s="18"/>
      <c r="AA120" s="18"/>
      <c r="AD120" s="18"/>
      <c r="AE120" s="18"/>
      <c r="AF120" s="18"/>
      <c r="AH120" s="18"/>
      <c r="AI120" s="18"/>
      <c r="AJ120" s="18"/>
      <c r="AM120" s="18"/>
      <c r="AN120" s="18"/>
    </row>
    <row r="121" spans="16:40" x14ac:dyDescent="0.35">
      <c r="P121" s="18"/>
      <c r="R121" s="18"/>
      <c r="S121" s="18"/>
      <c r="T121" s="18"/>
      <c r="U121" s="18"/>
      <c r="X121" s="18"/>
      <c r="Y121" s="18"/>
      <c r="Z121" s="18"/>
      <c r="AA121" s="18"/>
      <c r="AD121" s="18"/>
      <c r="AE121" s="18"/>
      <c r="AF121" s="18"/>
      <c r="AH121" s="18"/>
      <c r="AI121" s="18"/>
      <c r="AJ121" s="18"/>
      <c r="AM121" s="18"/>
      <c r="AN121" s="18"/>
    </row>
    <row r="122" spans="16:40" x14ac:dyDescent="0.35">
      <c r="P122" s="18"/>
      <c r="R122" s="18"/>
      <c r="S122" s="18"/>
      <c r="T122" s="18"/>
      <c r="U122" s="18"/>
      <c r="X122" s="18"/>
      <c r="Y122" s="18"/>
      <c r="Z122" s="18"/>
      <c r="AA122" s="18"/>
      <c r="AD122" s="18"/>
      <c r="AE122" s="18"/>
      <c r="AF122" s="18"/>
      <c r="AH122" s="18"/>
      <c r="AI122" s="18"/>
      <c r="AJ122" s="18"/>
      <c r="AM122" s="18"/>
      <c r="AN122" s="18"/>
    </row>
    <row r="123" spans="16:40" x14ac:dyDescent="0.35">
      <c r="P123" s="18"/>
      <c r="R123" s="18"/>
      <c r="S123" s="18"/>
      <c r="T123" s="18"/>
      <c r="U123" s="18"/>
      <c r="X123" s="18"/>
      <c r="Y123" s="18"/>
      <c r="Z123" s="18"/>
      <c r="AA123" s="18"/>
      <c r="AD123" s="18"/>
      <c r="AE123" s="18"/>
      <c r="AF123" s="18"/>
      <c r="AH123" s="18"/>
      <c r="AI123" s="18"/>
      <c r="AJ123" s="18"/>
      <c r="AM123" s="18"/>
      <c r="AN123" s="18"/>
    </row>
    <row r="124" spans="16:40" x14ac:dyDescent="0.35">
      <c r="P124" s="18"/>
      <c r="R124" s="18"/>
      <c r="S124" s="18"/>
      <c r="T124" s="18"/>
      <c r="U124" s="18"/>
      <c r="X124" s="18"/>
      <c r="Y124" s="18"/>
      <c r="Z124" s="18"/>
      <c r="AA124" s="18"/>
      <c r="AD124" s="18"/>
      <c r="AE124" s="18"/>
      <c r="AF124" s="18"/>
      <c r="AH124" s="18"/>
      <c r="AI124" s="18"/>
      <c r="AJ124" s="18"/>
      <c r="AM124" s="18"/>
      <c r="AN124" s="18"/>
    </row>
    <row r="125" spans="16:40" x14ac:dyDescent="0.35">
      <c r="P125" s="18"/>
      <c r="R125" s="18"/>
      <c r="S125" s="18"/>
      <c r="T125" s="18"/>
      <c r="U125" s="18"/>
      <c r="X125" s="18"/>
      <c r="Y125" s="18"/>
      <c r="Z125" s="18"/>
      <c r="AA125" s="18"/>
      <c r="AD125" s="18"/>
      <c r="AE125" s="18"/>
      <c r="AF125" s="18"/>
      <c r="AH125" s="18"/>
      <c r="AI125" s="18"/>
      <c r="AJ125" s="18"/>
      <c r="AM125" s="18"/>
      <c r="AN125" s="18"/>
    </row>
    <row r="126" spans="16:40" x14ac:dyDescent="0.35">
      <c r="P126" s="18"/>
      <c r="R126" s="18"/>
      <c r="S126" s="18"/>
      <c r="T126" s="18"/>
      <c r="U126" s="18"/>
      <c r="X126" s="18"/>
      <c r="Y126" s="18"/>
      <c r="Z126" s="18"/>
      <c r="AA126" s="18"/>
      <c r="AD126" s="18"/>
      <c r="AE126" s="18"/>
      <c r="AF126" s="18"/>
      <c r="AH126" s="18"/>
      <c r="AI126" s="18"/>
      <c r="AJ126" s="18"/>
      <c r="AM126" s="18"/>
      <c r="AN126" s="18"/>
    </row>
    <row r="127" spans="16:40" x14ac:dyDescent="0.35">
      <c r="P127" s="18"/>
      <c r="R127" s="18"/>
      <c r="S127" s="18"/>
      <c r="T127" s="18"/>
      <c r="U127" s="18"/>
      <c r="X127" s="18"/>
      <c r="Y127" s="18"/>
      <c r="Z127" s="18"/>
      <c r="AA127" s="18"/>
      <c r="AD127" s="18"/>
      <c r="AE127" s="18"/>
      <c r="AF127" s="18"/>
      <c r="AH127" s="18"/>
      <c r="AI127" s="18"/>
      <c r="AJ127" s="18"/>
      <c r="AM127" s="18"/>
      <c r="AN127" s="18"/>
    </row>
    <row r="128" spans="16:40" x14ac:dyDescent="0.35">
      <c r="P128" s="18"/>
      <c r="R128" s="18"/>
      <c r="S128" s="18"/>
      <c r="T128" s="18"/>
      <c r="U128" s="18"/>
      <c r="X128" s="18"/>
      <c r="Y128" s="18"/>
      <c r="Z128" s="18"/>
      <c r="AA128" s="18"/>
      <c r="AD128" s="18"/>
      <c r="AE128" s="18"/>
      <c r="AF128" s="18"/>
      <c r="AH128" s="18"/>
      <c r="AI128" s="18"/>
      <c r="AJ128" s="18"/>
      <c r="AM128" s="18"/>
      <c r="AN128" s="18"/>
    </row>
  </sheetData>
  <dataValidations count="1">
    <dataValidation type="list" allowBlank="1" showInputMessage="1" showErrorMessage="1" sqref="C20 C33" xr:uid="{E7AFE5B5-C334-40BD-989E-8CA27C94A0FC}">
      <formula1>"Yes,No"</formula1>
    </dataValidation>
  </dataValidations>
  <pageMargins left="0.7" right="0.7" top="0.75" bottom="0.75" header="0.3" footer="0.3"/>
  <pageSetup orientation="portrait" r:id="rId1"/>
  <ignoredErrors>
    <ignoredError sqref="C13 C2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DF04-0598-433A-B732-248B16C37A07}">
  <dimension ref="B1:AL127"/>
  <sheetViews>
    <sheetView topLeftCell="A20" workbookViewId="0">
      <selection activeCell="B49" sqref="B49"/>
    </sheetView>
  </sheetViews>
  <sheetFormatPr defaultRowHeight="14.5" x14ac:dyDescent="0.35"/>
  <cols>
    <col min="2" max="2" width="72.6328125" bestFit="1" customWidth="1"/>
    <col min="3" max="3" width="22.6328125" customWidth="1"/>
    <col min="4" max="4" width="11.36328125" bestFit="1" customWidth="1"/>
    <col min="5" max="5" width="12.36328125" bestFit="1" customWidth="1"/>
    <col min="6" max="6" width="12.36328125" customWidth="1"/>
    <col min="7" max="7" width="30.54296875" customWidth="1"/>
    <col min="8" max="8" width="28.6328125" bestFit="1" customWidth="1"/>
    <col min="9" max="10" width="22" bestFit="1" customWidth="1"/>
    <col min="11" max="16" width="22" customWidth="1"/>
    <col min="18" max="18" width="14.36328125" bestFit="1" customWidth="1"/>
    <col min="19" max="19" width="12.453125" bestFit="1" customWidth="1"/>
    <col min="20" max="20" width="12.453125" customWidth="1"/>
    <col min="22" max="22" width="18.453125" bestFit="1" customWidth="1"/>
    <col min="23" max="23" width="14.08984375" bestFit="1" customWidth="1"/>
    <col min="24" max="24" width="11" bestFit="1" customWidth="1"/>
    <col min="25" max="25" width="13.453125" bestFit="1" customWidth="1"/>
    <col min="27" max="27" width="21.54296875" bestFit="1" customWidth="1"/>
    <col min="28" max="28" width="17.90625" customWidth="1"/>
    <col min="29" max="29" width="9.08984375" bestFit="1" customWidth="1"/>
    <col min="30" max="30" width="15.08984375" bestFit="1" customWidth="1"/>
    <col min="31" max="31" width="15.08984375" customWidth="1"/>
    <col min="32" max="32" width="21.54296875" bestFit="1" customWidth="1"/>
    <col min="33" max="33" width="13.1796875" bestFit="1" customWidth="1"/>
    <col min="34" max="34" width="9.08984375" bestFit="1" customWidth="1"/>
    <col min="35" max="35" width="15.08984375" bestFit="1" customWidth="1"/>
    <col min="36" max="36" width="15.08984375" customWidth="1"/>
  </cols>
  <sheetData>
    <row r="1" spans="2:38" x14ac:dyDescent="0.35">
      <c r="D1" s="71"/>
      <c r="E1" s="12" t="s">
        <v>34</v>
      </c>
    </row>
    <row r="2" spans="2:38" x14ac:dyDescent="0.35">
      <c r="D2" s="72"/>
      <c r="E2" s="12" t="s">
        <v>35</v>
      </c>
    </row>
    <row r="3" spans="2:38" x14ac:dyDescent="0.35">
      <c r="D3" s="73"/>
      <c r="E3" s="12" t="s">
        <v>205</v>
      </c>
    </row>
    <row r="5" spans="2:38" ht="16.5" x14ac:dyDescent="0.45">
      <c r="B5" s="2" t="s">
        <v>72</v>
      </c>
      <c r="C5" s="22">
        <v>7.4999999999999997E-2</v>
      </c>
      <c r="D5" s="6" t="s">
        <v>0</v>
      </c>
      <c r="I5" s="21"/>
      <c r="J5" s="21"/>
      <c r="K5" s="21"/>
      <c r="L5" s="21"/>
      <c r="M5" s="21"/>
      <c r="N5" s="21"/>
      <c r="O5" s="21"/>
      <c r="P5" s="21"/>
      <c r="Q5" s="1"/>
      <c r="R5" s="52" t="s">
        <v>108</v>
      </c>
      <c r="S5" s="52" t="s">
        <v>33</v>
      </c>
      <c r="T5" s="52" t="s">
        <v>132</v>
      </c>
      <c r="V5" s="52" t="s">
        <v>109</v>
      </c>
      <c r="W5" s="52" t="s">
        <v>110</v>
      </c>
      <c r="X5" s="52" t="s">
        <v>111</v>
      </c>
      <c r="Y5" s="52" t="s">
        <v>112</v>
      </c>
      <c r="Z5" s="1"/>
      <c r="AA5" s="52" t="s">
        <v>113</v>
      </c>
      <c r="AB5" s="52" t="s">
        <v>119</v>
      </c>
      <c r="AC5" s="52" t="s">
        <v>118</v>
      </c>
      <c r="AD5" s="52" t="s">
        <v>114</v>
      </c>
      <c r="AE5" s="21"/>
      <c r="AF5" s="52" t="s">
        <v>115</v>
      </c>
      <c r="AG5" s="52" t="s">
        <v>117</v>
      </c>
      <c r="AH5" s="52" t="s">
        <v>116</v>
      </c>
      <c r="AI5" s="52" t="s">
        <v>120</v>
      </c>
      <c r="AJ5" s="21"/>
      <c r="AK5" s="52" t="s">
        <v>121</v>
      </c>
      <c r="AL5" s="52" t="s">
        <v>58</v>
      </c>
    </row>
    <row r="6" spans="2:38" ht="16.5" x14ac:dyDescent="0.45">
      <c r="B6" s="2" t="s">
        <v>71</v>
      </c>
      <c r="C6" s="22">
        <v>0.1</v>
      </c>
      <c r="D6" s="4" t="s">
        <v>0</v>
      </c>
      <c r="I6" s="20"/>
      <c r="Q6" s="18"/>
      <c r="R6" s="49">
        <v>1</v>
      </c>
      <c r="S6" s="6" cm="1">
        <f t="array" ref="S6">_xlfn.IFS(AND($C$34="Yes", $C$44="Yes"),1/((1/Y6)+(1/AD6)+(1/AI6)), AND($C$34="Yes", $C$44="No"), 1/((1/Y6)+(1/AD6)), AND($C$34="No", $C$44="Yes"), 1/((1/Y6)+(1/AI6)), AND($C$34="No", $C$44="No"), 1/(1/Y6))</f>
        <v>3617.1577975411724</v>
      </c>
      <c r="T6" s="6">
        <f>$C$19/1000</f>
        <v>5.5624585477376753E-2</v>
      </c>
      <c r="V6" s="53">
        <f t="shared" ref="V6:V37" si="0">1/(2*PI()*$R6*$C$25*$C$22*0.000001)</f>
        <v>3617.157797543076</v>
      </c>
      <c r="W6" s="54">
        <f t="shared" ref="W6:W37" si="1">2*PI()*$R6*((0.000000001*$C$24)/$C$25)</f>
        <v>2.0420352248333655E-9</v>
      </c>
      <c r="X6" s="55">
        <f t="shared" ref="X6:X37" si="2">(0.001*$C$23)/$C$25</f>
        <v>1E-3</v>
      </c>
      <c r="Y6" s="56">
        <f>SQRT(X6^(2)+ABS(V6-W6)^(2))</f>
        <v>3617.1577975411724</v>
      </c>
      <c r="AA6" s="53">
        <f t="shared" ref="AA6:AA37" si="3">1/(2*PI()*$R6*$C$38*$C$35*0.000001)</f>
        <v>795774.71545947669</v>
      </c>
      <c r="AB6" s="54">
        <f t="shared" ref="AB6:AB37" si="4">2*PI()*$R6*((0.000000001*$C$37)/$C$38)</f>
        <v>1.2566370614359174E-9</v>
      </c>
      <c r="AC6" s="56">
        <f t="shared" ref="AC6:AC37" si="5">(0.001*$C$36)/$C$38</f>
        <v>6.0000000000000001E-3</v>
      </c>
      <c r="AD6" s="56">
        <f t="shared" ref="AD6:AD37" si="6">IF($C$34="Yes", SQRT(AC6^(2)+ABS(AA6-AB6)^(2)), 0)</f>
        <v>0</v>
      </c>
      <c r="AE6" s="15"/>
      <c r="AF6" s="53">
        <f t="shared" ref="AF6:AF37" si="7">1/(2*PI()*$R6*$C$48*$C$45*0.000001)</f>
        <v>1591549.4309189534</v>
      </c>
      <c r="AG6" s="54">
        <f t="shared" ref="AG6:AG37" si="8">2*PI()*$R6*((0.000000001*$C$47)/$C$48)</f>
        <v>3.1415926535897932E-9</v>
      </c>
      <c r="AH6" s="56">
        <f t="shared" ref="AH6:AH37" si="9">(0.001*$C$46)/$C$48</f>
        <v>1E-4</v>
      </c>
      <c r="AI6" s="56">
        <f t="shared" ref="AI6:AI37" si="10">IF($C$44="Yes", SQRT(AH6^(2)+ABS(AF6-AG6)^(2)), 0)</f>
        <v>0</v>
      </c>
      <c r="AJ6" s="15"/>
      <c r="AK6" s="6">
        <f>C12*1000</f>
        <v>500000</v>
      </c>
      <c r="AL6" s="6">
        <v>1.0000000000000001E-5</v>
      </c>
    </row>
    <row r="7" spans="2:38" ht="16.5" x14ac:dyDescent="0.45">
      <c r="B7" s="2" t="s">
        <v>10</v>
      </c>
      <c r="C7" s="74">
        <f>Main!C8</f>
        <v>12</v>
      </c>
      <c r="D7" s="4" t="s">
        <v>0</v>
      </c>
      <c r="I7" s="20"/>
      <c r="R7" s="49">
        <v>2</v>
      </c>
      <c r="S7" s="6" cm="1">
        <f t="array" ref="S7">_xlfn.IFS(AND($C$34="Yes", $C$44="Yes"),1/((1/Y7)+(1/AD7)+(1/AI7)), AND($C$34="Yes", $C$44="No"), 1/((1/Y7)+(1/AD7)), AND($C$34="No", $C$44="Yes"), 1/((1/Y7)+(1/AI7)), AND($C$34="No", $C$44="No"), 1/(1/Y7))</f>
        <v>1808.5788987677304</v>
      </c>
      <c r="T7" s="6">
        <f t="shared" ref="T7:T72" si="11">$C$19/1000</f>
        <v>5.5624585477376753E-2</v>
      </c>
      <c r="V7" s="53">
        <f t="shared" si="0"/>
        <v>1808.578898771538</v>
      </c>
      <c r="W7" s="54">
        <f t="shared" si="1"/>
        <v>4.0840704496667311E-9</v>
      </c>
      <c r="X7" s="55">
        <f t="shared" si="2"/>
        <v>1E-3</v>
      </c>
      <c r="Y7" s="56">
        <f t="shared" ref="Y7:Y70" si="12">SQRT(X7^(2)+ABS(V7-W7)^(2))</f>
        <v>1808.5788987677304</v>
      </c>
      <c r="AA7" s="53">
        <f t="shared" si="3"/>
        <v>397887.35772973835</v>
      </c>
      <c r="AB7" s="54">
        <f t="shared" si="4"/>
        <v>2.5132741228718347E-9</v>
      </c>
      <c r="AC7" s="56">
        <f t="shared" si="5"/>
        <v>6.0000000000000001E-3</v>
      </c>
      <c r="AD7" s="56">
        <f t="shared" si="6"/>
        <v>0</v>
      </c>
      <c r="AE7" s="15"/>
      <c r="AF7" s="53">
        <f t="shared" si="7"/>
        <v>795774.71545947669</v>
      </c>
      <c r="AG7" s="54">
        <f t="shared" si="8"/>
        <v>6.2831853071795863E-9</v>
      </c>
      <c r="AH7" s="56">
        <f t="shared" si="9"/>
        <v>1E-4</v>
      </c>
      <c r="AI7" s="56">
        <f t="shared" si="10"/>
        <v>0</v>
      </c>
      <c r="AJ7" s="15"/>
    </row>
    <row r="8" spans="2:38" x14ac:dyDescent="0.35">
      <c r="B8" s="2" t="s">
        <v>138</v>
      </c>
      <c r="C8" s="75">
        <f>Main!C24</f>
        <v>3.3272727272727267</v>
      </c>
      <c r="D8" s="4" t="s">
        <v>0</v>
      </c>
      <c r="I8" s="20"/>
      <c r="R8" s="49">
        <v>3</v>
      </c>
      <c r="S8" s="6" cm="1">
        <f t="array" ref="S8">_xlfn.IFS(AND($C$34="Yes", $C$44="Yes"),1/((1/Y8)+(1/AD8)+(1/AI8)), AND($C$34="Yes", $C$44="No"), 1/((1/Y8)+(1/AD8)), AND($C$34="No", $C$44="Yes"), 1/((1/Y8)+(1/AI8)), AND($C$34="No", $C$44="No"), 1/(1/Y8))</f>
        <v>1205.7192658419806</v>
      </c>
      <c r="T8" s="6">
        <f t="shared" si="11"/>
        <v>5.5624585477376753E-2</v>
      </c>
      <c r="V8" s="53">
        <f t="shared" si="0"/>
        <v>1205.719265847692</v>
      </c>
      <c r="W8" s="54">
        <f t="shared" si="1"/>
        <v>6.1261056745000966E-9</v>
      </c>
      <c r="X8" s="55">
        <f t="shared" si="2"/>
        <v>1E-3</v>
      </c>
      <c r="Y8" s="56">
        <f t="shared" si="12"/>
        <v>1205.7192658419806</v>
      </c>
      <c r="AA8" s="53">
        <f t="shared" si="3"/>
        <v>265258.23848649225</v>
      </c>
      <c r="AB8" s="54">
        <f t="shared" si="4"/>
        <v>3.7699111843077525E-9</v>
      </c>
      <c r="AC8" s="56">
        <f t="shared" si="5"/>
        <v>6.0000000000000001E-3</v>
      </c>
      <c r="AD8" s="56">
        <f t="shared" si="6"/>
        <v>0</v>
      </c>
      <c r="AE8" s="15"/>
      <c r="AF8" s="53">
        <f t="shared" si="7"/>
        <v>530516.4769729845</v>
      </c>
      <c r="AG8" s="54">
        <f t="shared" si="8"/>
        <v>9.4247779607693799E-9</v>
      </c>
      <c r="AH8" s="56">
        <f t="shared" si="9"/>
        <v>1E-4</v>
      </c>
      <c r="AI8" s="56">
        <f t="shared" si="10"/>
        <v>0</v>
      </c>
      <c r="AJ8" s="15"/>
    </row>
    <row r="9" spans="2:38" ht="16.5" x14ac:dyDescent="0.45">
      <c r="B9" s="2" t="s">
        <v>31</v>
      </c>
      <c r="C9" s="74">
        <f>Main!C32</f>
        <v>4.7</v>
      </c>
      <c r="D9" s="4" t="s">
        <v>148</v>
      </c>
      <c r="I9" s="20"/>
      <c r="R9" s="49">
        <v>4</v>
      </c>
      <c r="S9" s="6" cm="1">
        <f t="array" ref="S9">_xlfn.IFS(AND($C$34="Yes", $C$44="Yes"),1/((1/Y9)+(1/AD9)+(1/AI9)), AND($C$34="Yes", $C$44="No"), 1/((1/Y9)+(1/AD9)), AND($C$34="No", $C$44="Yes"), 1/((1/Y9)+(1/AI9)), AND($C$34="No", $C$44="No"), 1/(1/Y9))</f>
        <v>904.28944937815368</v>
      </c>
      <c r="T9" s="6">
        <f t="shared" si="11"/>
        <v>5.5624585477376753E-2</v>
      </c>
      <c r="V9" s="53">
        <f t="shared" si="0"/>
        <v>904.28944938576899</v>
      </c>
      <c r="W9" s="54">
        <f t="shared" si="1"/>
        <v>8.1681408993334622E-9</v>
      </c>
      <c r="X9" s="55">
        <f t="shared" si="2"/>
        <v>1E-3</v>
      </c>
      <c r="Y9" s="56">
        <f t="shared" si="12"/>
        <v>904.28944937815379</v>
      </c>
      <c r="AA9" s="53">
        <f t="shared" si="3"/>
        <v>198943.67886486917</v>
      </c>
      <c r="AB9" s="54">
        <f t="shared" si="4"/>
        <v>5.0265482457436694E-9</v>
      </c>
      <c r="AC9" s="56">
        <f t="shared" si="5"/>
        <v>6.0000000000000001E-3</v>
      </c>
      <c r="AD9" s="56">
        <f t="shared" si="6"/>
        <v>0</v>
      </c>
      <c r="AE9" s="15"/>
      <c r="AF9" s="53">
        <f t="shared" si="7"/>
        <v>397887.35772973835</v>
      </c>
      <c r="AG9" s="54">
        <f t="shared" si="8"/>
        <v>1.2566370614359173E-8</v>
      </c>
      <c r="AH9" s="56">
        <f t="shared" si="9"/>
        <v>1E-4</v>
      </c>
      <c r="AI9" s="56">
        <f t="shared" si="10"/>
        <v>0</v>
      </c>
      <c r="AJ9" s="15"/>
    </row>
    <row r="10" spans="2:38" ht="16.5" x14ac:dyDescent="0.45">
      <c r="B10" s="2" t="s">
        <v>12</v>
      </c>
      <c r="C10" s="74">
        <f>Main!C10</f>
        <v>3</v>
      </c>
      <c r="D10" s="4" t="s">
        <v>3</v>
      </c>
      <c r="I10" s="20"/>
      <c r="R10" s="49">
        <v>5</v>
      </c>
      <c r="S10" s="6" cm="1">
        <f t="array" ref="S10">_xlfn.IFS(AND($C$34="Yes", $C$44="Yes"),1/((1/Y10)+(1/AD10)+(1/AI10)), AND($C$34="Yes", $C$44="No"), 1/((1/Y10)+(1/AD10)), AND($C$34="No", $C$44="Yes"), 1/((1/Y10)+(1/AI10)), AND($C$34="No", $C$44="No"), 1/(1/Y10))</f>
        <v>723.43155949909601</v>
      </c>
      <c r="T10" s="6">
        <f t="shared" si="11"/>
        <v>5.5624585477376753E-2</v>
      </c>
      <c r="V10" s="53">
        <f t="shared" si="0"/>
        <v>723.43155950861512</v>
      </c>
      <c r="W10" s="54">
        <f t="shared" si="1"/>
        <v>1.0210176124166828E-8</v>
      </c>
      <c r="X10" s="55">
        <f t="shared" si="2"/>
        <v>1E-3</v>
      </c>
      <c r="Y10" s="56">
        <f t="shared" si="12"/>
        <v>723.43155949909601</v>
      </c>
      <c r="AA10" s="53">
        <f t="shared" si="3"/>
        <v>159154.94309189534</v>
      </c>
      <c r="AB10" s="54">
        <f t="shared" si="4"/>
        <v>6.2831853071795872E-9</v>
      </c>
      <c r="AC10" s="56">
        <f t="shared" si="5"/>
        <v>6.0000000000000001E-3</v>
      </c>
      <c r="AD10" s="56">
        <f t="shared" si="6"/>
        <v>0</v>
      </c>
      <c r="AE10" s="15"/>
      <c r="AF10" s="53">
        <f t="shared" si="7"/>
        <v>318309.88618379069</v>
      </c>
      <c r="AG10" s="54">
        <f t="shared" si="8"/>
        <v>1.5707963267948965E-8</v>
      </c>
      <c r="AH10" s="56">
        <f t="shared" si="9"/>
        <v>1E-4</v>
      </c>
      <c r="AI10" s="56">
        <f t="shared" si="10"/>
        <v>0</v>
      </c>
      <c r="AJ10" s="15"/>
    </row>
    <row r="11" spans="2:38" ht="16.5" x14ac:dyDescent="0.45">
      <c r="B11" s="2" t="s">
        <v>24</v>
      </c>
      <c r="C11" s="74">
        <f>Main!G8</f>
        <v>2</v>
      </c>
      <c r="D11" s="4" t="s">
        <v>3</v>
      </c>
      <c r="I11" s="20"/>
      <c r="R11" s="49">
        <v>6</v>
      </c>
      <c r="S11" s="6" cm="1">
        <f t="array" ref="S11">_xlfn.IFS(AND($C$34="Yes", $C$44="Yes"),1/((1/Y11)+(1/AD11)+(1/AI11)), AND($C$34="Yes", $C$44="No"), 1/((1/Y11)+(1/AD11)), AND($C$34="No", $C$44="Yes"), 1/((1/Y11)+(1/AI11)), AND($C$34="No", $C$44="No"), 1/(1/Y11))</f>
        <v>602.85963291242308</v>
      </c>
      <c r="T11" s="6">
        <f t="shared" si="11"/>
        <v>5.5624585477376753E-2</v>
      </c>
      <c r="V11" s="53">
        <f t="shared" si="0"/>
        <v>602.85963292384599</v>
      </c>
      <c r="W11" s="54">
        <f t="shared" si="1"/>
        <v>1.2252211349000193E-8</v>
      </c>
      <c r="X11" s="55">
        <f t="shared" si="2"/>
        <v>1E-3</v>
      </c>
      <c r="Y11" s="56">
        <f t="shared" si="12"/>
        <v>602.85963291242308</v>
      </c>
      <c r="AA11" s="53">
        <f t="shared" si="3"/>
        <v>132629.11924324612</v>
      </c>
      <c r="AB11" s="54">
        <f t="shared" si="4"/>
        <v>7.5398223686155049E-9</v>
      </c>
      <c r="AC11" s="56">
        <f t="shared" si="5"/>
        <v>6.0000000000000001E-3</v>
      </c>
      <c r="AD11" s="56">
        <f t="shared" si="6"/>
        <v>0</v>
      </c>
      <c r="AE11" s="15"/>
      <c r="AF11" s="53">
        <f t="shared" si="7"/>
        <v>265258.23848649225</v>
      </c>
      <c r="AG11" s="54">
        <f t="shared" si="8"/>
        <v>1.884955592153876E-8</v>
      </c>
      <c r="AH11" s="56">
        <f t="shared" si="9"/>
        <v>1E-4</v>
      </c>
      <c r="AI11" s="56">
        <f t="shared" si="10"/>
        <v>0</v>
      </c>
      <c r="AJ11" s="15"/>
    </row>
    <row r="12" spans="2:38" ht="16.5" x14ac:dyDescent="0.45">
      <c r="B12" s="2" t="s">
        <v>18</v>
      </c>
      <c r="C12" s="74">
        <f>Main!C11</f>
        <v>500</v>
      </c>
      <c r="D12" s="4" t="s">
        <v>4</v>
      </c>
      <c r="I12" s="20"/>
      <c r="R12" s="49">
        <v>7</v>
      </c>
      <c r="S12" s="6" cm="1">
        <f t="array" ref="S12">_xlfn.IFS(AND($C$34="Yes", $C$44="Yes"),1/((1/Y12)+(1/AD12)+(1/AI12)), AND($C$34="Yes", $C$44="No"), 1/((1/Y12)+(1/AD12)), AND($C$34="No", $C$44="Yes"), 1/((1/Y12)+(1/AI12)), AND($C$34="No", $C$44="No"), 1/(1/Y12))</f>
        <v>516.73682820711269</v>
      </c>
      <c r="T12" s="6">
        <f t="shared" si="11"/>
        <v>5.5624585477376753E-2</v>
      </c>
      <c r="V12" s="53">
        <f t="shared" si="0"/>
        <v>516.73682822043941</v>
      </c>
      <c r="W12" s="54">
        <f t="shared" si="1"/>
        <v>1.4294246573833559E-8</v>
      </c>
      <c r="X12" s="55">
        <f t="shared" si="2"/>
        <v>1E-3</v>
      </c>
      <c r="Y12" s="56">
        <f t="shared" si="12"/>
        <v>516.73682820711269</v>
      </c>
      <c r="AA12" s="53">
        <f t="shared" si="3"/>
        <v>113682.10220849668</v>
      </c>
      <c r="AB12" s="54">
        <f t="shared" si="4"/>
        <v>8.7964594300514227E-9</v>
      </c>
      <c r="AC12" s="56">
        <f t="shared" si="5"/>
        <v>6.0000000000000001E-3</v>
      </c>
      <c r="AD12" s="56">
        <f t="shared" si="6"/>
        <v>0</v>
      </c>
      <c r="AE12" s="15"/>
      <c r="AF12" s="53">
        <f t="shared" si="7"/>
        <v>227364.20441699337</v>
      </c>
      <c r="AG12" s="54">
        <f t="shared" si="8"/>
        <v>2.1991148575128554E-8</v>
      </c>
      <c r="AH12" s="56">
        <f t="shared" si="9"/>
        <v>1E-4</v>
      </c>
      <c r="AI12" s="56">
        <f t="shared" si="10"/>
        <v>0</v>
      </c>
      <c r="AJ12" s="15"/>
    </row>
    <row r="13" spans="2:38" x14ac:dyDescent="0.35">
      <c r="B13" s="2" t="s">
        <v>17</v>
      </c>
      <c r="C13" s="77">
        <f>0.01*Main!C12</f>
        <v>0.27500000000000002</v>
      </c>
      <c r="D13" s="4"/>
      <c r="I13" s="20"/>
      <c r="R13" s="49">
        <v>8</v>
      </c>
      <c r="S13" s="6" cm="1">
        <f t="array" ref="S13">_xlfn.IFS(AND($C$34="Yes", $C$44="Yes"),1/((1/Y13)+(1/AD13)+(1/AI13)), AND($C$34="Yes", $C$44="No"), 1/((1/Y13)+(1/AD13)), AND($C$34="No", $C$44="Yes"), 1/((1/Y13)+(1/AI13)), AND($C$34="No", $C$44="No"), 1/(1/Y13))</f>
        <v>452.14472467765404</v>
      </c>
      <c r="T13" s="6">
        <f t="shared" si="11"/>
        <v>5.5624585477376753E-2</v>
      </c>
      <c r="V13" s="53">
        <f t="shared" si="0"/>
        <v>452.14472469288449</v>
      </c>
      <c r="W13" s="54">
        <f t="shared" si="1"/>
        <v>1.6336281798666924E-8</v>
      </c>
      <c r="X13" s="55">
        <f t="shared" si="2"/>
        <v>1E-3</v>
      </c>
      <c r="Y13" s="56">
        <f t="shared" si="12"/>
        <v>452.14472467765404</v>
      </c>
      <c r="AA13" s="53">
        <f t="shared" si="3"/>
        <v>99471.839432434586</v>
      </c>
      <c r="AB13" s="54">
        <f t="shared" si="4"/>
        <v>1.0053096491487339E-8</v>
      </c>
      <c r="AC13" s="56">
        <f t="shared" si="5"/>
        <v>6.0000000000000001E-3</v>
      </c>
      <c r="AD13" s="56">
        <f t="shared" si="6"/>
        <v>0</v>
      </c>
      <c r="AE13" s="15"/>
      <c r="AF13" s="53">
        <f t="shared" si="7"/>
        <v>198943.67886486917</v>
      </c>
      <c r="AG13" s="54">
        <f t="shared" si="8"/>
        <v>2.5132741228718345E-8</v>
      </c>
      <c r="AH13" s="56">
        <f t="shared" si="9"/>
        <v>1E-4</v>
      </c>
      <c r="AI13" s="56">
        <f t="shared" si="10"/>
        <v>0</v>
      </c>
      <c r="AJ13" s="15"/>
    </row>
    <row r="14" spans="2:38" ht="16.5" x14ac:dyDescent="0.45">
      <c r="B14" s="2" t="s">
        <v>21</v>
      </c>
      <c r="C14" s="76">
        <f>Main!G24</f>
        <v>33.483416989278531</v>
      </c>
      <c r="D14" s="6" t="s">
        <v>4</v>
      </c>
      <c r="I14" s="20"/>
      <c r="R14" s="49">
        <v>9</v>
      </c>
      <c r="S14" s="6" cm="1">
        <f t="array" ref="S14">_xlfn.IFS(AND($C$34="Yes", $C$44="Yes"),1/((1/Y14)+(1/AD14)+(1/AI14)), AND($C$34="Yes", $C$44="No"), 1/((1/Y14)+(1/AD14)), AND($C$34="No", $C$44="Yes"), 1/((1/Y14)+(1/AI14)), AND($C$34="No", $C$44="No"), 1/(1/Y14))</f>
        <v>401.90642193209641</v>
      </c>
      <c r="T14" s="6">
        <f t="shared" si="11"/>
        <v>5.5624585477376753E-2</v>
      </c>
      <c r="V14" s="53">
        <f t="shared" si="0"/>
        <v>401.90642194923066</v>
      </c>
      <c r="W14" s="54">
        <f t="shared" si="1"/>
        <v>1.837831702350029E-8</v>
      </c>
      <c r="X14" s="55">
        <f t="shared" si="2"/>
        <v>1E-3</v>
      </c>
      <c r="Y14" s="56">
        <f t="shared" si="12"/>
        <v>401.90642193209641</v>
      </c>
      <c r="AA14" s="53">
        <f t="shared" si="3"/>
        <v>88419.412828830755</v>
      </c>
      <c r="AB14" s="54">
        <f t="shared" si="4"/>
        <v>1.1309733552923257E-8</v>
      </c>
      <c r="AC14" s="56">
        <f t="shared" si="5"/>
        <v>6.0000000000000001E-3</v>
      </c>
      <c r="AD14" s="56">
        <f t="shared" si="6"/>
        <v>0</v>
      </c>
      <c r="AE14" s="15"/>
      <c r="AF14" s="53">
        <f t="shared" si="7"/>
        <v>176838.82565766151</v>
      </c>
      <c r="AG14" s="54">
        <f t="shared" si="8"/>
        <v>2.827433388230814E-8</v>
      </c>
      <c r="AH14" s="56">
        <f t="shared" si="9"/>
        <v>1E-4</v>
      </c>
      <c r="AI14" s="56">
        <f t="shared" si="10"/>
        <v>0</v>
      </c>
      <c r="AJ14" s="15"/>
    </row>
    <row r="15" spans="2:38" x14ac:dyDescent="0.35">
      <c r="I15" s="20"/>
      <c r="R15" s="49">
        <v>10</v>
      </c>
      <c r="S15" s="6" cm="1">
        <f t="array" ref="S15">_xlfn.IFS(AND($C$34="Yes", $C$44="Yes"),1/((1/Y15)+(1/AD15)+(1/AI15)), AND($C$34="Yes", $C$44="No"), 1/((1/Y15)+(1/AD15)), AND($C$34="No", $C$44="Yes"), 1/((1/Y15)+(1/AI15)), AND($C$34="No", $C$44="No"), 1/(1/Y15))</f>
        <v>361.71577973526945</v>
      </c>
      <c r="T15" s="6">
        <f t="shared" si="11"/>
        <v>5.5624585477376753E-2</v>
      </c>
      <c r="V15" s="53">
        <f t="shared" si="0"/>
        <v>361.71577975430756</v>
      </c>
      <c r="W15" s="54">
        <f t="shared" si="1"/>
        <v>2.0420352248333655E-8</v>
      </c>
      <c r="X15" s="55">
        <f t="shared" si="2"/>
        <v>1E-3</v>
      </c>
      <c r="Y15" s="56">
        <f t="shared" si="12"/>
        <v>361.71577973526945</v>
      </c>
      <c r="AA15" s="53">
        <f t="shared" si="3"/>
        <v>79577.471545947672</v>
      </c>
      <c r="AB15" s="54">
        <f t="shared" si="4"/>
        <v>1.2566370614359174E-8</v>
      </c>
      <c r="AC15" s="56">
        <f t="shared" si="5"/>
        <v>6.0000000000000001E-3</v>
      </c>
      <c r="AD15" s="56">
        <f t="shared" si="6"/>
        <v>0</v>
      </c>
      <c r="AE15" s="15"/>
      <c r="AF15" s="53">
        <f t="shared" si="7"/>
        <v>159154.94309189534</v>
      </c>
      <c r="AG15" s="54">
        <f t="shared" si="8"/>
        <v>3.1415926535897931E-8</v>
      </c>
      <c r="AH15" s="56">
        <f t="shared" si="9"/>
        <v>1E-4</v>
      </c>
      <c r="AI15" s="56">
        <f t="shared" si="10"/>
        <v>0</v>
      </c>
      <c r="AJ15" s="15"/>
    </row>
    <row r="16" spans="2:38" x14ac:dyDescent="0.35">
      <c r="B16" s="2" t="s">
        <v>215</v>
      </c>
      <c r="C16" s="7">
        <f>(C13*(1-C13)*C10)/(C5*C12*1000)*1000000</f>
        <v>15.950000000000001</v>
      </c>
      <c r="D16" s="4" t="s">
        <v>8</v>
      </c>
      <c r="I16" s="45"/>
      <c r="R16" s="49">
        <v>20</v>
      </c>
      <c r="S16" s="6" cm="1">
        <f t="array" ref="S16">_xlfn.IFS(AND($C$34="Yes", $C$44="Yes"),1/((1/Y16)+(1/AD16)+(1/AI16)), AND($C$34="Yes", $C$44="No"), 1/((1/Y16)+(1/AD16)), AND($C$34="No", $C$44="Yes"), 1/((1/Y16)+(1/AI16)), AND($C$34="No", $C$44="No"), 1/(1/Y16))</f>
        <v>180.85788983907767</v>
      </c>
      <c r="T16" s="6">
        <f t="shared" si="11"/>
        <v>5.5624585477376753E-2</v>
      </c>
      <c r="V16" s="53">
        <f t="shared" si="0"/>
        <v>180.85788987715378</v>
      </c>
      <c r="W16" s="54">
        <f t="shared" si="1"/>
        <v>4.0840704496667311E-8</v>
      </c>
      <c r="X16" s="55">
        <f t="shared" si="2"/>
        <v>1E-3</v>
      </c>
      <c r="Y16" s="56">
        <f t="shared" si="12"/>
        <v>180.85788983907767</v>
      </c>
      <c r="AA16" s="53">
        <f t="shared" si="3"/>
        <v>39788.735772973836</v>
      </c>
      <c r="AB16" s="54">
        <f t="shared" si="4"/>
        <v>2.5132741228718349E-8</v>
      </c>
      <c r="AC16" s="56">
        <f t="shared" si="5"/>
        <v>6.0000000000000001E-3</v>
      </c>
      <c r="AD16" s="56">
        <f t="shared" si="6"/>
        <v>0</v>
      </c>
      <c r="AE16" s="15"/>
      <c r="AF16" s="53">
        <f t="shared" si="7"/>
        <v>79577.471545947672</v>
      </c>
      <c r="AG16" s="54">
        <f t="shared" si="8"/>
        <v>6.2831853071795862E-8</v>
      </c>
      <c r="AH16" s="56">
        <f t="shared" si="9"/>
        <v>1E-4</v>
      </c>
      <c r="AI16" s="56">
        <f t="shared" si="10"/>
        <v>0</v>
      </c>
      <c r="AJ16" s="15"/>
    </row>
    <row r="17" spans="2:36" x14ac:dyDescent="0.35">
      <c r="B17" s="2" t="s">
        <v>91</v>
      </c>
      <c r="C17" s="7">
        <f>((0.5*C11*C13*(0.35/(C14*1000)))/C6)*1000000</f>
        <v>28.745572780346606</v>
      </c>
      <c r="D17" s="4" t="s">
        <v>8</v>
      </c>
      <c r="I17" s="20"/>
      <c r="R17" s="49">
        <v>30</v>
      </c>
      <c r="S17" s="6" cm="1">
        <f t="array" ref="S17">_xlfn.IFS(AND($C$34="Yes", $C$44="Yes"),1/((1/Y17)+(1/AD17)+(1/AI17)), AND($C$34="Yes", $C$44="No"), 1/((1/Y17)+(1/AD17)), AND($C$34="No", $C$44="Yes"), 1/((1/Y17)+(1/AI17)), AND($C$34="No", $C$44="No"), 1/(1/Y17))</f>
        <v>120.57192652765505</v>
      </c>
      <c r="T17" s="6">
        <f t="shared" si="11"/>
        <v>5.5624585477376753E-2</v>
      </c>
      <c r="V17" s="53">
        <f t="shared" si="0"/>
        <v>120.57192658476922</v>
      </c>
      <c r="W17" s="54">
        <f t="shared" si="1"/>
        <v>6.126105674500096E-8</v>
      </c>
      <c r="X17" s="55">
        <f t="shared" si="2"/>
        <v>1E-3</v>
      </c>
      <c r="Y17" s="56">
        <f t="shared" si="12"/>
        <v>120.57192652765505</v>
      </c>
      <c r="Z17" s="18"/>
      <c r="AA17" s="53">
        <f t="shared" si="3"/>
        <v>26525.823848649223</v>
      </c>
      <c r="AB17" s="54">
        <f t="shared" si="4"/>
        <v>3.769911184307752E-8</v>
      </c>
      <c r="AC17" s="56">
        <f t="shared" si="5"/>
        <v>6.0000000000000001E-3</v>
      </c>
      <c r="AD17" s="56">
        <f t="shared" si="6"/>
        <v>0</v>
      </c>
      <c r="AE17" s="15"/>
      <c r="AF17" s="53">
        <f t="shared" si="7"/>
        <v>53051.647697298446</v>
      </c>
      <c r="AG17" s="54">
        <f t="shared" si="8"/>
        <v>9.4247779607693786E-8</v>
      </c>
      <c r="AH17" s="56">
        <f t="shared" si="9"/>
        <v>1E-4</v>
      </c>
      <c r="AI17" s="56">
        <f t="shared" si="10"/>
        <v>0</v>
      </c>
      <c r="AJ17" s="15"/>
    </row>
    <row r="18" spans="2:36" ht="16.5" x14ac:dyDescent="0.45">
      <c r="B18" s="2" t="s">
        <v>225</v>
      </c>
      <c r="C18" s="5">
        <f>SQRT((C13)*(POWER(C10, 2)*(1-(C13))+(1/12)*(((C7-C8)*C13)/(C9*0.000001*C12*1000))^2))</f>
        <v>1.3483246545810841</v>
      </c>
      <c r="D18" s="4" t="s">
        <v>3</v>
      </c>
      <c r="I18" s="20"/>
      <c r="R18" s="49">
        <v>40</v>
      </c>
      <c r="S18" s="6" cm="1">
        <f t="array" ref="S18">_xlfn.IFS(AND($C$34="Yes", $C$44="Yes"),1/((1/Y18)+(1/AD18)+(1/AI18)), AND($C$34="Yes", $C$44="No"), 1/((1/Y18)+(1/AD18)), AND($C$34="No", $C$44="Yes"), 1/((1/Y18)+(1/AI18)), AND($C$34="No", $C$44="No"), 1/(1/Y18))</f>
        <v>90.428944862424686</v>
      </c>
      <c r="T18" s="6">
        <f t="shared" si="11"/>
        <v>5.5624585477376753E-2</v>
      </c>
      <c r="V18" s="53">
        <f t="shared" si="0"/>
        <v>90.42894493857689</v>
      </c>
      <c r="W18" s="54">
        <f t="shared" si="1"/>
        <v>8.1681408993334622E-8</v>
      </c>
      <c r="X18" s="55">
        <f t="shared" si="2"/>
        <v>1E-3</v>
      </c>
      <c r="Y18" s="56">
        <f t="shared" si="12"/>
        <v>90.428944862424686</v>
      </c>
      <c r="Z18" s="18"/>
      <c r="AA18" s="53">
        <f t="shared" si="3"/>
        <v>19894.367886486918</v>
      </c>
      <c r="AB18" s="54">
        <f t="shared" si="4"/>
        <v>5.0265482457436697E-8</v>
      </c>
      <c r="AC18" s="56">
        <f t="shared" si="5"/>
        <v>6.0000000000000001E-3</v>
      </c>
      <c r="AD18" s="56">
        <f t="shared" si="6"/>
        <v>0</v>
      </c>
      <c r="AE18" s="15"/>
      <c r="AF18" s="53">
        <f t="shared" si="7"/>
        <v>39788.735772973836</v>
      </c>
      <c r="AG18" s="54">
        <f t="shared" si="8"/>
        <v>1.2566370614359172E-7</v>
      </c>
      <c r="AH18" s="56">
        <f t="shared" si="9"/>
        <v>1E-4</v>
      </c>
      <c r="AI18" s="56">
        <f t="shared" si="10"/>
        <v>0</v>
      </c>
      <c r="AJ18" s="15"/>
    </row>
    <row r="19" spans="2:36" ht="16.5" x14ac:dyDescent="0.45">
      <c r="B19" s="2" t="s">
        <v>218</v>
      </c>
      <c r="C19" s="5">
        <f>1000*C5/C18</f>
        <v>55.624585477376755</v>
      </c>
      <c r="D19" s="6" t="s">
        <v>16</v>
      </c>
      <c r="I19" s="20"/>
      <c r="R19" s="49">
        <v>50</v>
      </c>
      <c r="S19" s="6" cm="1">
        <f t="array" ref="S19">_xlfn.IFS(AND($C$34="Yes", $C$44="Yes"),1/((1/Y19)+(1/AD19)+(1/AI19)), AND($C$34="Yes", $C$44="No"), 1/((1/Y19)+(1/AD19)), AND($C$34="No", $C$44="Yes"), 1/((1/Y19)+(1/AI19)), AND($C$34="No", $C$44="No"), 1/(1/Y19))</f>
        <v>72.343155855671256</v>
      </c>
      <c r="T19" s="6">
        <f t="shared" si="11"/>
        <v>5.5624585477376753E-2</v>
      </c>
      <c r="V19" s="53">
        <f t="shared" si="0"/>
        <v>72.343155950861515</v>
      </c>
      <c r="W19" s="54">
        <f t="shared" si="1"/>
        <v>1.0210176124166828E-7</v>
      </c>
      <c r="X19" s="55">
        <f t="shared" si="2"/>
        <v>1E-3</v>
      </c>
      <c r="Y19" s="56">
        <f t="shared" si="12"/>
        <v>72.343155855671256</v>
      </c>
      <c r="Z19" s="18"/>
      <c r="AA19" s="53">
        <f t="shared" si="3"/>
        <v>15915.494309189533</v>
      </c>
      <c r="AB19" s="54">
        <f t="shared" si="4"/>
        <v>6.2831853071795875E-8</v>
      </c>
      <c r="AC19" s="56">
        <f t="shared" si="5"/>
        <v>6.0000000000000001E-3</v>
      </c>
      <c r="AD19" s="56">
        <f t="shared" si="6"/>
        <v>0</v>
      </c>
      <c r="AE19" s="15"/>
      <c r="AF19" s="53">
        <f t="shared" si="7"/>
        <v>31830.988618379066</v>
      </c>
      <c r="AG19" s="54">
        <f t="shared" si="8"/>
        <v>1.5707963267948966E-7</v>
      </c>
      <c r="AH19" s="56">
        <f t="shared" si="9"/>
        <v>1E-4</v>
      </c>
      <c r="AI19" s="56">
        <f t="shared" si="10"/>
        <v>0</v>
      </c>
      <c r="AJ19" s="15"/>
    </row>
    <row r="20" spans="2:36" x14ac:dyDescent="0.35">
      <c r="B20" s="1"/>
      <c r="D20" s="9"/>
      <c r="I20" s="20"/>
      <c r="R20" s="49">
        <v>60</v>
      </c>
      <c r="S20" s="6" cm="1">
        <f t="array" ref="S20">_xlfn.IFS(AND($C$34="Yes", $C$44="Yes"),1/((1/Y20)+(1/AD20)+(1/AI20)), AND($C$34="Yes", $C$44="No"), 1/((1/Y20)+(1/AD20)), AND($C$34="No", $C$44="Yes"), 1/((1/Y20)+(1/AI20)), AND($C$34="No", $C$44="No"), 1/(1/Y20))</f>
        <v>60.285963178156294</v>
      </c>
      <c r="T20" s="6">
        <f t="shared" si="11"/>
        <v>5.5624585477376753E-2</v>
      </c>
      <c r="V20" s="53">
        <f t="shared" si="0"/>
        <v>60.285963292384608</v>
      </c>
      <c r="W20" s="54">
        <f t="shared" si="1"/>
        <v>1.2252211349000192E-7</v>
      </c>
      <c r="X20" s="55">
        <f t="shared" si="2"/>
        <v>1E-3</v>
      </c>
      <c r="Y20" s="56">
        <f t="shared" si="12"/>
        <v>60.285963178156294</v>
      </c>
      <c r="Z20" s="18"/>
      <c r="AA20" s="53">
        <f t="shared" si="3"/>
        <v>13262.911924324611</v>
      </c>
      <c r="AB20" s="54">
        <f t="shared" si="4"/>
        <v>7.5398223686155039E-8</v>
      </c>
      <c r="AC20" s="56">
        <f t="shared" si="5"/>
        <v>6.0000000000000001E-3</v>
      </c>
      <c r="AD20" s="56">
        <f t="shared" si="6"/>
        <v>0</v>
      </c>
      <c r="AE20" s="15"/>
      <c r="AF20" s="53">
        <f t="shared" si="7"/>
        <v>26525.823848649223</v>
      </c>
      <c r="AG20" s="54">
        <f t="shared" si="8"/>
        <v>1.8849555921538757E-7</v>
      </c>
      <c r="AH20" s="56">
        <f t="shared" si="9"/>
        <v>1E-4</v>
      </c>
      <c r="AI20" s="56">
        <f t="shared" si="10"/>
        <v>0</v>
      </c>
      <c r="AJ20" s="15"/>
    </row>
    <row r="21" spans="2:36" x14ac:dyDescent="0.35">
      <c r="I21" s="20"/>
      <c r="R21" s="49">
        <v>70</v>
      </c>
      <c r="S21" s="6" cm="1">
        <f t="array" ref="S21">_xlfn.IFS(AND($C$34="Yes", $C$44="Yes"),1/((1/Y21)+(1/AD21)+(1/AI21)), AND($C$34="Yes", $C$44="No"), 1/((1/Y21)+(1/AD21)), AND($C$34="No", $C$44="Yes"), 1/((1/Y21)+(1/AI21)), AND($C$34="No", $C$44="No"), 1/(1/Y21))</f>
        <v>51.673682688777582</v>
      </c>
      <c r="T21" s="6">
        <f t="shared" si="11"/>
        <v>5.5624585477376753E-2</v>
      </c>
      <c r="V21" s="53">
        <f t="shared" si="0"/>
        <v>51.673682822043943</v>
      </c>
      <c r="W21" s="54">
        <f t="shared" si="1"/>
        <v>1.4294246573833559E-7</v>
      </c>
      <c r="X21" s="55">
        <f t="shared" si="2"/>
        <v>1E-3</v>
      </c>
      <c r="Y21" s="56">
        <f t="shared" si="12"/>
        <v>51.673682688777582</v>
      </c>
      <c r="Z21" s="18"/>
      <c r="AA21" s="53">
        <f t="shared" si="3"/>
        <v>11368.210220849667</v>
      </c>
      <c r="AB21" s="54">
        <f t="shared" si="4"/>
        <v>8.7964594300514217E-8</v>
      </c>
      <c r="AC21" s="56">
        <f t="shared" si="5"/>
        <v>6.0000000000000001E-3</v>
      </c>
      <c r="AD21" s="56">
        <f t="shared" si="6"/>
        <v>0</v>
      </c>
      <c r="AE21" s="15"/>
      <c r="AF21" s="53">
        <f t="shared" si="7"/>
        <v>22736.420441699334</v>
      </c>
      <c r="AG21" s="54">
        <f t="shared" si="8"/>
        <v>2.1991148575128554E-7</v>
      </c>
      <c r="AH21" s="56">
        <f t="shared" si="9"/>
        <v>1E-4</v>
      </c>
      <c r="AI21" s="56">
        <f t="shared" si="10"/>
        <v>0</v>
      </c>
      <c r="AJ21" s="15"/>
    </row>
    <row r="22" spans="2:36" ht="16.5" x14ac:dyDescent="0.45">
      <c r="B22" s="2" t="s">
        <v>86</v>
      </c>
      <c r="C22" s="3">
        <v>22</v>
      </c>
      <c r="D22" s="16" t="s">
        <v>8</v>
      </c>
      <c r="I22" s="20"/>
      <c r="R22" s="49">
        <v>80</v>
      </c>
      <c r="S22" s="6" cm="1">
        <f t="array" ref="S22">_xlfn.IFS(AND($C$34="Yes", $C$44="Yes"),1/((1/Y22)+(1/AD22)+(1/AI22)), AND($C$34="Yes", $C$44="No"), 1/((1/Y22)+(1/AD22)), AND($C$34="No", $C$44="Yes"), 1/((1/Y22)+(1/AI22)), AND($C$34="No", $C$44="No"), 1/(1/Y22))</f>
        <v>45.214472316984029</v>
      </c>
      <c r="T22" s="6">
        <f t="shared" si="11"/>
        <v>5.5624585477376753E-2</v>
      </c>
      <c r="V22" s="53">
        <f t="shared" si="0"/>
        <v>45.214472469288445</v>
      </c>
      <c r="W22" s="54">
        <f t="shared" si="1"/>
        <v>1.6336281798666924E-7</v>
      </c>
      <c r="X22" s="55">
        <f t="shared" si="2"/>
        <v>1E-3</v>
      </c>
      <c r="Y22" s="56">
        <f t="shared" si="12"/>
        <v>45.214472316984029</v>
      </c>
      <c r="Z22" s="18"/>
      <c r="AA22" s="53">
        <f t="shared" si="3"/>
        <v>9947.183943243459</v>
      </c>
      <c r="AB22" s="54">
        <f t="shared" si="4"/>
        <v>1.0053096491487339E-7</v>
      </c>
      <c r="AC22" s="56">
        <f t="shared" si="5"/>
        <v>6.0000000000000001E-3</v>
      </c>
      <c r="AD22" s="56">
        <f t="shared" si="6"/>
        <v>0</v>
      </c>
      <c r="AE22" s="15"/>
      <c r="AF22" s="53">
        <f t="shared" si="7"/>
        <v>19894.367886486918</v>
      </c>
      <c r="AG22" s="54">
        <f t="shared" si="8"/>
        <v>2.5132741228718345E-7</v>
      </c>
      <c r="AH22" s="56">
        <f t="shared" si="9"/>
        <v>1E-4</v>
      </c>
      <c r="AI22" s="56">
        <f t="shared" si="10"/>
        <v>0</v>
      </c>
      <c r="AJ22" s="15"/>
    </row>
    <row r="23" spans="2:36" x14ac:dyDescent="0.35">
      <c r="B23" s="2" t="s">
        <v>87</v>
      </c>
      <c r="C23" s="3">
        <v>2</v>
      </c>
      <c r="D23" s="6" t="s">
        <v>16</v>
      </c>
      <c r="I23" s="20"/>
      <c r="R23" s="49">
        <v>90</v>
      </c>
      <c r="S23" s="6" cm="1">
        <f t="array" ref="S23">_xlfn.IFS(AND($C$34="Yes", $C$44="Yes"),1/((1/Y23)+(1/AD23)+(1/AI23)), AND($C$34="Yes", $C$44="No"), 1/((1/Y23)+(1/AD23)), AND($C$34="No", $C$44="Yes"), 1/((1/Y23)+(1/AI23)), AND($C$34="No", $C$44="No"), 1/(1/Y23))</f>
        <v>40.190642023580601</v>
      </c>
      <c r="T23" s="6">
        <f t="shared" si="11"/>
        <v>5.5624585477376753E-2</v>
      </c>
      <c r="V23" s="53">
        <f t="shared" si="0"/>
        <v>40.190642194923065</v>
      </c>
      <c r="W23" s="54">
        <f t="shared" si="1"/>
        <v>1.8378317023500292E-7</v>
      </c>
      <c r="X23" s="55">
        <f t="shared" si="2"/>
        <v>1E-3</v>
      </c>
      <c r="Y23" s="56">
        <f t="shared" si="12"/>
        <v>40.190642023580601</v>
      </c>
      <c r="Z23" s="18"/>
      <c r="AA23" s="53">
        <f t="shared" si="3"/>
        <v>8841.9412828830737</v>
      </c>
      <c r="AB23" s="54">
        <f t="shared" si="4"/>
        <v>1.1309733552923257E-7</v>
      </c>
      <c r="AC23" s="56">
        <f t="shared" si="5"/>
        <v>6.0000000000000001E-3</v>
      </c>
      <c r="AD23" s="56">
        <f t="shared" si="6"/>
        <v>0</v>
      </c>
      <c r="AE23" s="15"/>
      <c r="AF23" s="53">
        <f t="shared" si="7"/>
        <v>17683.882565766147</v>
      </c>
      <c r="AG23" s="54">
        <f t="shared" si="8"/>
        <v>2.8274333882308138E-7</v>
      </c>
      <c r="AH23" s="56">
        <f t="shared" si="9"/>
        <v>1E-4</v>
      </c>
      <c r="AI23" s="56">
        <f t="shared" si="10"/>
        <v>0</v>
      </c>
      <c r="AJ23" s="15"/>
    </row>
    <row r="24" spans="2:36" x14ac:dyDescent="0.35">
      <c r="B24" s="2" t="s">
        <v>88</v>
      </c>
      <c r="C24" s="3">
        <v>0.65</v>
      </c>
      <c r="D24" s="6" t="s">
        <v>5</v>
      </c>
      <c r="I24" s="20"/>
      <c r="R24" s="49">
        <v>100</v>
      </c>
      <c r="S24" s="6" cm="1">
        <f t="array" ref="S24">_xlfn.IFS(AND($C$34="Yes", $C$44="Yes"),1/((1/Y24)+(1/AD24)+(1/AI24)), AND($C$34="Yes", $C$44="No"), 1/((1/Y24)+(1/AD24)), AND($C$34="No", $C$44="Yes"), 1/((1/Y24)+(1/AI24)), AND($C$34="No", $C$44="No"), 1/(1/Y24))</f>
        <v>36.171577785050239</v>
      </c>
      <c r="T24" s="6">
        <f t="shared" si="11"/>
        <v>5.5624585477376753E-2</v>
      </c>
      <c r="V24" s="53">
        <f t="shared" si="0"/>
        <v>36.171577975430758</v>
      </c>
      <c r="W24" s="54">
        <f t="shared" si="1"/>
        <v>2.0420352248333657E-7</v>
      </c>
      <c r="X24" s="55">
        <f t="shared" si="2"/>
        <v>1E-3</v>
      </c>
      <c r="Y24" s="56">
        <f t="shared" si="12"/>
        <v>36.171577785050239</v>
      </c>
      <c r="Z24" s="18"/>
      <c r="AA24" s="53">
        <f t="shared" si="3"/>
        <v>7957.7471545947665</v>
      </c>
      <c r="AB24" s="54">
        <f t="shared" si="4"/>
        <v>1.2566370614359175E-7</v>
      </c>
      <c r="AC24" s="56">
        <f t="shared" si="5"/>
        <v>6.0000000000000001E-3</v>
      </c>
      <c r="AD24" s="56">
        <f t="shared" si="6"/>
        <v>0</v>
      </c>
      <c r="AE24" s="15"/>
      <c r="AF24" s="53">
        <f t="shared" si="7"/>
        <v>15915.494309189533</v>
      </c>
      <c r="AG24" s="54">
        <f t="shared" si="8"/>
        <v>3.1415926535897932E-7</v>
      </c>
      <c r="AH24" s="56">
        <f t="shared" si="9"/>
        <v>1E-4</v>
      </c>
      <c r="AI24" s="56">
        <f t="shared" si="10"/>
        <v>0</v>
      </c>
      <c r="AJ24" s="15"/>
    </row>
    <row r="25" spans="2:36" x14ac:dyDescent="0.35">
      <c r="B25" s="2" t="s">
        <v>158</v>
      </c>
      <c r="C25" s="3">
        <v>2</v>
      </c>
      <c r="D25" s="6"/>
      <c r="I25" s="20"/>
      <c r="R25" s="49">
        <v>200</v>
      </c>
      <c r="S25" s="6" cm="1">
        <f t="array" ref="S25">_xlfn.IFS(AND($C$34="Yes", $C$44="Yes"),1/((1/Y25)+(1/AD25)+(1/AI25)), AND($C$34="Yes", $C$44="No"), 1/((1/Y25)+(1/AD25)), AND($C$34="No", $C$44="Yes"), 1/((1/Y25)+(1/AI25)), AND($C$34="No", $C$44="No"), 1/(1/Y25))</f>
        <v>18.085788606954353</v>
      </c>
      <c r="T25" s="6">
        <f t="shared" si="11"/>
        <v>5.5624585477376753E-2</v>
      </c>
      <c r="V25" s="53">
        <f t="shared" si="0"/>
        <v>18.085788987715379</v>
      </c>
      <c r="W25" s="54">
        <f t="shared" si="1"/>
        <v>4.0840704496667313E-7</v>
      </c>
      <c r="X25" s="55">
        <f t="shared" si="2"/>
        <v>1E-3</v>
      </c>
      <c r="Y25" s="56">
        <f t="shared" si="12"/>
        <v>18.085788606954353</v>
      </c>
      <c r="Z25" s="18"/>
      <c r="AA25" s="53">
        <f t="shared" si="3"/>
        <v>3978.8735772973832</v>
      </c>
      <c r="AB25" s="54">
        <f t="shared" si="4"/>
        <v>2.513274122871835E-7</v>
      </c>
      <c r="AC25" s="56">
        <f t="shared" si="5"/>
        <v>6.0000000000000001E-3</v>
      </c>
      <c r="AD25" s="56">
        <f t="shared" si="6"/>
        <v>0</v>
      </c>
      <c r="AE25" s="15"/>
      <c r="AF25" s="53">
        <f t="shared" si="7"/>
        <v>7957.7471545947665</v>
      </c>
      <c r="AG25" s="54">
        <f t="shared" si="8"/>
        <v>6.2831853071795864E-7</v>
      </c>
      <c r="AH25" s="56">
        <f t="shared" si="9"/>
        <v>1E-4</v>
      </c>
      <c r="AI25" s="56">
        <f t="shared" si="10"/>
        <v>0</v>
      </c>
      <c r="AJ25" s="15"/>
    </row>
    <row r="26" spans="2:36" ht="16.5" x14ac:dyDescent="0.45">
      <c r="B26" s="2" t="s">
        <v>89</v>
      </c>
      <c r="C26" s="10">
        <f>C22*C25</f>
        <v>44</v>
      </c>
      <c r="D26" s="16" t="s">
        <v>8</v>
      </c>
      <c r="K26" s="26"/>
      <c r="L26" s="26"/>
      <c r="M26" s="26"/>
      <c r="N26" s="26"/>
      <c r="O26" s="26"/>
      <c r="P26" s="26"/>
      <c r="R26" s="49">
        <v>300</v>
      </c>
      <c r="S26" s="6" cm="1">
        <f t="array" ref="S26">_xlfn.IFS(AND($C$34="Yes", $C$44="Yes"),1/((1/Y26)+(1/AD26)+(1/AI26)), AND($C$34="Yes", $C$44="No"), 1/((1/Y26)+(1/AD26)), AND($C$34="No", $C$44="Yes"), 1/((1/Y26)+(1/AI26)), AND($C$34="No", $C$44="No"), 1/(1/Y26))</f>
        <v>12.05719208733538</v>
      </c>
      <c r="T26" s="6">
        <f t="shared" si="11"/>
        <v>5.5624585477376753E-2</v>
      </c>
      <c r="V26" s="53">
        <f t="shared" si="0"/>
        <v>12.057192658476922</v>
      </c>
      <c r="W26" s="54">
        <f t="shared" si="1"/>
        <v>6.1261056745000973E-7</v>
      </c>
      <c r="X26" s="55">
        <f t="shared" si="2"/>
        <v>1E-3</v>
      </c>
      <c r="Y26" s="56">
        <f t="shared" si="12"/>
        <v>12.05719208733538</v>
      </c>
      <c r="Z26" s="18"/>
      <c r="AA26" s="53">
        <f t="shared" si="3"/>
        <v>2652.5823848649225</v>
      </c>
      <c r="AB26" s="54">
        <f t="shared" si="4"/>
        <v>3.7699111843077525E-7</v>
      </c>
      <c r="AC26" s="56">
        <f t="shared" si="5"/>
        <v>6.0000000000000001E-3</v>
      </c>
      <c r="AD26" s="56">
        <f t="shared" si="6"/>
        <v>0</v>
      </c>
      <c r="AE26" s="15"/>
      <c r="AF26" s="53">
        <f t="shared" si="7"/>
        <v>5305.1647697298449</v>
      </c>
      <c r="AG26" s="54">
        <f t="shared" si="8"/>
        <v>9.4247779607693802E-7</v>
      </c>
      <c r="AH26" s="56">
        <f t="shared" si="9"/>
        <v>1E-4</v>
      </c>
      <c r="AI26" s="56">
        <f t="shared" si="10"/>
        <v>0</v>
      </c>
      <c r="AJ26" s="15"/>
    </row>
    <row r="27" spans="2:36" x14ac:dyDescent="0.35">
      <c r="B27" s="2" t="s">
        <v>82</v>
      </c>
      <c r="C27" s="44">
        <f>C23/C25</f>
        <v>1</v>
      </c>
      <c r="D27" s="6" t="s">
        <v>16</v>
      </c>
      <c r="K27" s="26"/>
      <c r="L27" s="26"/>
      <c r="M27" s="26"/>
      <c r="N27" s="26"/>
      <c r="O27" s="26"/>
      <c r="P27" s="26"/>
      <c r="R27" s="49">
        <v>400</v>
      </c>
      <c r="S27" s="6" cm="1">
        <f t="array" ref="S27">_xlfn.IFS(AND($C$34="Yes", $C$44="Yes"),1/((1/Y27)+(1/AD27)+(1/AI27)), AND($C$34="Yes", $C$44="No"), 1/((1/Y27)+(1/AD27)), AND($C$34="No", $C$44="Yes"), 1/((1/Y27)+(1/AI27)), AND($C$34="No", $C$44="No"), 1/(1/Y27))</f>
        <v>9.0428937323356351</v>
      </c>
      <c r="T27" s="6">
        <f t="shared" si="11"/>
        <v>5.5624585477376753E-2</v>
      </c>
      <c r="V27" s="53">
        <f t="shared" si="0"/>
        <v>9.0428944938576894</v>
      </c>
      <c r="W27" s="54">
        <f t="shared" si="1"/>
        <v>8.1681408993334627E-7</v>
      </c>
      <c r="X27" s="55">
        <f t="shared" si="2"/>
        <v>1E-3</v>
      </c>
      <c r="Y27" s="56">
        <f t="shared" si="12"/>
        <v>9.0428937323356351</v>
      </c>
      <c r="Z27" s="18"/>
      <c r="AA27" s="53">
        <f t="shared" si="3"/>
        <v>1989.4367886486916</v>
      </c>
      <c r="AB27" s="54">
        <f t="shared" si="4"/>
        <v>5.02654824574367E-7</v>
      </c>
      <c r="AC27" s="56">
        <f t="shared" si="5"/>
        <v>6.0000000000000001E-3</v>
      </c>
      <c r="AD27" s="56">
        <f t="shared" si="6"/>
        <v>0</v>
      </c>
      <c r="AE27" s="15"/>
      <c r="AF27" s="53">
        <f t="shared" si="7"/>
        <v>3978.8735772973832</v>
      </c>
      <c r="AG27" s="54">
        <f t="shared" si="8"/>
        <v>1.2566370614359173E-6</v>
      </c>
      <c r="AH27" s="56">
        <f t="shared" si="9"/>
        <v>1E-4</v>
      </c>
      <c r="AI27" s="56">
        <f t="shared" si="10"/>
        <v>0</v>
      </c>
      <c r="AJ27" s="15"/>
    </row>
    <row r="28" spans="2:36" x14ac:dyDescent="0.35">
      <c r="B28" s="2" t="s">
        <v>81</v>
      </c>
      <c r="C28" s="43">
        <f>C24/C25</f>
        <v>0.32500000000000001</v>
      </c>
      <c r="D28" s="16" t="s">
        <v>5</v>
      </c>
      <c r="K28" s="26"/>
      <c r="L28" s="26"/>
      <c r="M28" s="26"/>
      <c r="N28" s="26"/>
      <c r="O28" s="26"/>
      <c r="P28" s="26"/>
      <c r="R28" s="49">
        <v>500</v>
      </c>
      <c r="S28" s="6" cm="1">
        <f t="array" ref="S28">_xlfn.IFS(AND($C$34="Yes", $C$44="Yes"),1/((1/Y28)+(1/AD28)+(1/AI28)), AND($C$34="Yes", $C$44="No"), 1/((1/Y28)+(1/AD28)), AND($C$34="No", $C$44="Yes"), 1/((1/Y28)+(1/AI28)), AND($C$34="No", $C$44="No"), 1/(1/Y28))</f>
        <v>7.2343146431835894</v>
      </c>
      <c r="T28" s="6">
        <f t="shared" si="11"/>
        <v>5.5624585477376753E-2</v>
      </c>
      <c r="V28" s="53">
        <f t="shared" si="0"/>
        <v>7.2343155950861533</v>
      </c>
      <c r="W28" s="54">
        <f t="shared" si="1"/>
        <v>1.0210176124166828E-6</v>
      </c>
      <c r="X28" s="55">
        <f t="shared" si="2"/>
        <v>1E-3</v>
      </c>
      <c r="Y28" s="56">
        <f t="shared" si="12"/>
        <v>7.2343146431835885</v>
      </c>
      <c r="Z28" s="18"/>
      <c r="AA28" s="53">
        <f t="shared" si="3"/>
        <v>1591.5494309189535</v>
      </c>
      <c r="AB28" s="54">
        <f t="shared" si="4"/>
        <v>6.2831853071795864E-7</v>
      </c>
      <c r="AC28" s="56">
        <f t="shared" si="5"/>
        <v>6.0000000000000001E-3</v>
      </c>
      <c r="AD28" s="56">
        <f t="shared" si="6"/>
        <v>0</v>
      </c>
      <c r="AE28" s="15"/>
      <c r="AF28" s="53">
        <f t="shared" si="7"/>
        <v>3183.098861837907</v>
      </c>
      <c r="AG28" s="54">
        <f t="shared" si="8"/>
        <v>1.5707963267948965E-6</v>
      </c>
      <c r="AH28" s="56">
        <f t="shared" si="9"/>
        <v>1E-4</v>
      </c>
      <c r="AI28" s="56">
        <f t="shared" si="10"/>
        <v>0</v>
      </c>
      <c r="AJ28" s="15"/>
    </row>
    <row r="29" spans="2:36" ht="16.5" x14ac:dyDescent="0.45">
      <c r="B29" s="37" t="s">
        <v>84</v>
      </c>
      <c r="C29" s="48">
        <f>1/(2*PI()*SQRT(C28*0.000000001*C26*0.000001))/1000</f>
        <v>1330.9204951373072</v>
      </c>
      <c r="D29" s="47" t="s">
        <v>85</v>
      </c>
      <c r="K29" s="26"/>
      <c r="L29" s="26"/>
      <c r="M29" s="26"/>
      <c r="N29" s="26"/>
      <c r="O29" s="26"/>
      <c r="P29" s="26"/>
      <c r="R29" s="49">
        <v>600</v>
      </c>
      <c r="S29" s="6" cm="1">
        <f t="array" ref="S29">_xlfn.IFS(AND($C$34="Yes", $C$44="Yes"),1/((1/Y29)+(1/AD29)+(1/AI29)), AND($C$34="Yes", $C$44="No"), 1/((1/Y29)+(1/AD29)), AND($C$34="No", $C$44="Yes"), 1/((1/Y29)+(1/AI29)), AND($C$34="No", $C$44="No"), 1/(1/Y29))</f>
        <v>6.0285951869553882</v>
      </c>
      <c r="T29" s="6">
        <f t="shared" si="11"/>
        <v>5.5624585477376753E-2</v>
      </c>
      <c r="V29" s="53">
        <f t="shared" si="0"/>
        <v>6.0285963292384608</v>
      </c>
      <c r="W29" s="54">
        <f t="shared" si="1"/>
        <v>1.2252211349000195E-6</v>
      </c>
      <c r="X29" s="55">
        <f t="shared" si="2"/>
        <v>1E-3</v>
      </c>
      <c r="Y29" s="56">
        <f t="shared" si="12"/>
        <v>6.0285951869553882</v>
      </c>
      <c r="Z29" s="18"/>
      <c r="AA29" s="53">
        <f t="shared" si="3"/>
        <v>1326.2911924324612</v>
      </c>
      <c r="AB29" s="54">
        <f t="shared" si="4"/>
        <v>7.539822368615505E-7</v>
      </c>
      <c r="AC29" s="56">
        <f t="shared" si="5"/>
        <v>6.0000000000000001E-3</v>
      </c>
      <c r="AD29" s="56">
        <f t="shared" si="6"/>
        <v>0</v>
      </c>
      <c r="AE29" s="15"/>
      <c r="AF29" s="53">
        <f t="shared" si="7"/>
        <v>2652.5823848649225</v>
      </c>
      <c r="AG29" s="54">
        <f t="shared" si="8"/>
        <v>1.884955592153876E-6</v>
      </c>
      <c r="AH29" s="56">
        <f t="shared" si="9"/>
        <v>1E-4</v>
      </c>
      <c r="AI29" s="56">
        <f t="shared" si="10"/>
        <v>0</v>
      </c>
      <c r="AJ29" s="15"/>
    </row>
    <row r="30" spans="2:36" ht="16.5" x14ac:dyDescent="0.45">
      <c r="B30" s="2" t="s">
        <v>90</v>
      </c>
      <c r="C30" s="43">
        <f>(($C$13)*$C$10*C27*0.001)+(($C$13*$C$10*(1-$C$13))/(C26*0.000001*$C$12*1000))</f>
        <v>2.8012499999999999E-2</v>
      </c>
      <c r="D30" s="6" t="s">
        <v>0</v>
      </c>
      <c r="K30" s="26"/>
      <c r="L30" s="26"/>
      <c r="M30" s="26"/>
      <c r="N30" s="26"/>
      <c r="O30" s="26"/>
      <c r="P30" s="26"/>
      <c r="R30" s="49">
        <v>700</v>
      </c>
      <c r="S30" s="6" cm="1">
        <f t="array" ref="S30">_xlfn.IFS(AND($C$34="Yes", $C$44="Yes"),1/((1/Y30)+(1/AD30)+(1/AI30)), AND($C$34="Yes", $C$44="No"), 1/((1/Y30)+(1/AD30)), AND($C$34="No", $C$44="Yes"), 1/((1/Y30)+(1/AI30)), AND($C$34="No", $C$44="No"), 1/(1/Y30))</f>
        <v>5.1673669495408179</v>
      </c>
      <c r="T30" s="6">
        <f t="shared" si="11"/>
        <v>5.5624585477376753E-2</v>
      </c>
      <c r="V30" s="53">
        <f t="shared" si="0"/>
        <v>5.1673682822043956</v>
      </c>
      <c r="W30" s="54">
        <f t="shared" si="1"/>
        <v>1.4294246573833559E-6</v>
      </c>
      <c r="X30" s="55">
        <f t="shared" si="2"/>
        <v>1E-3</v>
      </c>
      <c r="Y30" s="56">
        <f t="shared" si="12"/>
        <v>5.1673669495408179</v>
      </c>
      <c r="Z30" s="18"/>
      <c r="AA30" s="53">
        <f t="shared" si="3"/>
        <v>1136.8210220849667</v>
      </c>
      <c r="AB30" s="54">
        <f t="shared" si="4"/>
        <v>8.7964594300514214E-7</v>
      </c>
      <c r="AC30" s="56">
        <f t="shared" si="5"/>
        <v>6.0000000000000001E-3</v>
      </c>
      <c r="AD30" s="56">
        <f t="shared" si="6"/>
        <v>0</v>
      </c>
      <c r="AE30" s="15"/>
      <c r="AF30" s="53">
        <f t="shared" si="7"/>
        <v>2273.6420441699333</v>
      </c>
      <c r="AG30" s="54">
        <f t="shared" si="8"/>
        <v>2.199114857512855E-6</v>
      </c>
      <c r="AH30" s="56">
        <f t="shared" si="9"/>
        <v>1E-4</v>
      </c>
      <c r="AI30" s="56">
        <f t="shared" si="10"/>
        <v>0</v>
      </c>
      <c r="AJ30" s="15"/>
    </row>
    <row r="31" spans="2:36" x14ac:dyDescent="0.35">
      <c r="B31" s="2" t="s">
        <v>139</v>
      </c>
      <c r="C31" s="43">
        <f>C18/C25</f>
        <v>0.67416232729054204</v>
      </c>
      <c r="D31" s="6" t="s">
        <v>3</v>
      </c>
      <c r="K31" s="26"/>
      <c r="L31" s="26"/>
      <c r="M31" s="26"/>
      <c r="N31" s="26"/>
      <c r="O31" s="26"/>
      <c r="P31" s="26"/>
      <c r="R31" s="49">
        <v>800</v>
      </c>
      <c r="S31" s="6" cm="1">
        <f t="array" ref="S31">_xlfn.IFS(AND($C$34="Yes", $C$44="Yes"),1/((1/Y31)+(1/AD31)+(1/AI31)), AND($C$34="Yes", $C$44="No"), 1/((1/Y31)+(1/AD31)), AND($C$34="No", $C$44="Yes"), 1/((1/Y31)+(1/AI31)), AND($C$34="No", $C$44="No"), 1/(1/Y31))</f>
        <v>4.5214457238847645</v>
      </c>
      <c r="T31" s="6">
        <f t="shared" si="11"/>
        <v>5.5624585477376753E-2</v>
      </c>
      <c r="V31" s="53">
        <f t="shared" si="0"/>
        <v>4.5214472469288447</v>
      </c>
      <c r="W31" s="54">
        <f t="shared" si="1"/>
        <v>1.6336281798666925E-6</v>
      </c>
      <c r="X31" s="55">
        <f t="shared" si="2"/>
        <v>1E-3</v>
      </c>
      <c r="Y31" s="56">
        <f t="shared" si="12"/>
        <v>4.5214457238847645</v>
      </c>
      <c r="Z31" s="18"/>
      <c r="AA31" s="53">
        <f t="shared" si="3"/>
        <v>994.71839432434581</v>
      </c>
      <c r="AB31" s="54">
        <f t="shared" si="4"/>
        <v>1.005309649148734E-6</v>
      </c>
      <c r="AC31" s="56">
        <f t="shared" si="5"/>
        <v>6.0000000000000001E-3</v>
      </c>
      <c r="AD31" s="56">
        <f t="shared" si="6"/>
        <v>0</v>
      </c>
      <c r="AE31" s="15"/>
      <c r="AF31" s="53">
        <f t="shared" si="7"/>
        <v>1989.4367886486916</v>
      </c>
      <c r="AG31" s="54">
        <f t="shared" si="8"/>
        <v>2.5132741228718346E-6</v>
      </c>
      <c r="AH31" s="56">
        <f t="shared" si="9"/>
        <v>1E-4</v>
      </c>
      <c r="AI31" s="56">
        <f t="shared" si="10"/>
        <v>0</v>
      </c>
      <c r="AJ31" s="15"/>
    </row>
    <row r="32" spans="2:36" x14ac:dyDescent="0.35">
      <c r="B32" s="2" t="s">
        <v>140</v>
      </c>
      <c r="C32" s="43">
        <f>(0.5*C11*C13*(0.35/(C14*1000))/(C26*0.000001))</f>
        <v>6.5330847228060471E-2</v>
      </c>
      <c r="D32" s="6" t="s">
        <v>0</v>
      </c>
      <c r="K32" s="26"/>
      <c r="L32" s="26"/>
      <c r="M32" s="26"/>
      <c r="N32" s="26"/>
      <c r="O32" s="26"/>
      <c r="P32" s="26"/>
      <c r="R32" s="49">
        <v>900</v>
      </c>
      <c r="S32" s="6" cm="1">
        <f t="array" ref="S32">_xlfn.IFS(AND($C$34="Yes", $C$44="Yes"),1/((1/Y32)+(1/AD32)+(1/AI32)), AND($C$34="Yes", $C$44="No"), 1/((1/Y32)+(1/AD32)), AND($C$34="No", $C$44="Yes"), 1/((1/Y32)+(1/AI32)), AND($C$34="No", $C$44="No"), 1/(1/Y32))</f>
        <v>4.0190625060677281</v>
      </c>
      <c r="T32" s="6">
        <f t="shared" si="11"/>
        <v>5.5624585477376753E-2</v>
      </c>
      <c r="V32" s="53">
        <f t="shared" si="0"/>
        <v>4.0190642194923063</v>
      </c>
      <c r="W32" s="54">
        <f t="shared" si="1"/>
        <v>1.837831702350029E-6</v>
      </c>
      <c r="X32" s="55">
        <f t="shared" si="2"/>
        <v>1E-3</v>
      </c>
      <c r="Y32" s="56">
        <f t="shared" si="12"/>
        <v>4.0190625060677281</v>
      </c>
      <c r="Z32" s="18"/>
      <c r="AA32" s="53">
        <f t="shared" si="3"/>
        <v>884.19412828830752</v>
      </c>
      <c r="AB32" s="54">
        <f t="shared" si="4"/>
        <v>1.1309733552923258E-6</v>
      </c>
      <c r="AC32" s="56">
        <f t="shared" si="5"/>
        <v>6.0000000000000001E-3</v>
      </c>
      <c r="AD32" s="56">
        <f t="shared" si="6"/>
        <v>0</v>
      </c>
      <c r="AE32" s="15"/>
      <c r="AF32" s="53">
        <f t="shared" si="7"/>
        <v>1768.388256576615</v>
      </c>
      <c r="AG32" s="54">
        <f t="shared" si="8"/>
        <v>2.8274333882308137E-6</v>
      </c>
      <c r="AH32" s="56">
        <f t="shared" si="9"/>
        <v>1E-4</v>
      </c>
      <c r="AI32" s="56">
        <f t="shared" si="10"/>
        <v>0</v>
      </c>
      <c r="AJ32" s="15"/>
    </row>
    <row r="33" spans="2:36" x14ac:dyDescent="0.35">
      <c r="H33" s="2" t="s">
        <v>62</v>
      </c>
      <c r="I33" s="49" t="s">
        <v>60</v>
      </c>
      <c r="J33" s="50" t="s">
        <v>69</v>
      </c>
      <c r="K33" s="26"/>
      <c r="L33" s="26"/>
      <c r="M33" s="26"/>
      <c r="R33" s="49">
        <v>1000</v>
      </c>
      <c r="S33" s="6" cm="1">
        <f t="array" ref="S33">_xlfn.IFS(AND($C$34="Yes", $C$44="Yes"),1/((1/Y33)+(1/AD33)+(1/AI33)), AND($C$34="Yes", $C$44="No"), 1/((1/Y33)+(1/AD33)), AND($C$34="No", $C$44="Yes"), 1/((1/Y33)+(1/AI33)), AND($C$34="No", $C$44="No"), 1/(1/Y33))</f>
        <v>3.6171558937380044</v>
      </c>
      <c r="T33" s="6">
        <f t="shared" si="11"/>
        <v>5.5624585477376753E-2</v>
      </c>
      <c r="V33" s="53">
        <f t="shared" si="0"/>
        <v>3.6171577975430766</v>
      </c>
      <c r="W33" s="54">
        <f t="shared" si="1"/>
        <v>2.0420352248333656E-6</v>
      </c>
      <c r="X33" s="55">
        <f t="shared" si="2"/>
        <v>1E-3</v>
      </c>
      <c r="Y33" s="56">
        <f t="shared" si="12"/>
        <v>3.6171558937380039</v>
      </c>
      <c r="Z33" s="18"/>
      <c r="AA33" s="53">
        <f t="shared" si="3"/>
        <v>795.77471545947674</v>
      </c>
      <c r="AB33" s="54">
        <f t="shared" si="4"/>
        <v>1.2566370614359173E-6</v>
      </c>
      <c r="AC33" s="56">
        <f t="shared" si="5"/>
        <v>6.0000000000000001E-3</v>
      </c>
      <c r="AD33" s="56">
        <f t="shared" si="6"/>
        <v>0</v>
      </c>
      <c r="AE33" s="15"/>
      <c r="AF33" s="53">
        <f t="shared" si="7"/>
        <v>1591.5494309189535</v>
      </c>
      <c r="AG33" s="54">
        <f t="shared" si="8"/>
        <v>3.1415926535897929E-6</v>
      </c>
      <c r="AH33" s="56">
        <f t="shared" si="9"/>
        <v>1E-4</v>
      </c>
      <c r="AI33" s="56">
        <f t="shared" si="10"/>
        <v>0</v>
      </c>
      <c r="AJ33" s="15"/>
    </row>
    <row r="34" spans="2:36" x14ac:dyDescent="0.35">
      <c r="B34" s="2" t="s">
        <v>99</v>
      </c>
      <c r="C34" s="3" t="s">
        <v>37</v>
      </c>
      <c r="H34" s="2" t="s">
        <v>64</v>
      </c>
      <c r="I34" s="49">
        <v>47</v>
      </c>
      <c r="J34" s="50">
        <v>47</v>
      </c>
      <c r="K34" s="26"/>
      <c r="L34" s="26"/>
      <c r="M34" s="26"/>
      <c r="R34" s="49">
        <v>2000</v>
      </c>
      <c r="S34" s="6" cm="1">
        <f t="array" ref="S34">_xlfn.IFS(AND($C$34="Yes", $C$44="Yes"),1/((1/Y34)+(1/AD34)+(1/AI34)), AND($C$34="Yes", $C$44="No"), 1/((1/Y34)+(1/AD34)), AND($C$34="No", $C$44="Yes"), 1/((1/Y34)+(1/AI34)), AND($C$34="No", $C$44="No"), 1/(1/Y34))</f>
        <v>1.8085750911618457</v>
      </c>
      <c r="T34" s="6">
        <f t="shared" si="11"/>
        <v>5.5624585477376753E-2</v>
      </c>
      <c r="V34" s="53">
        <f t="shared" si="0"/>
        <v>1.8085788987715383</v>
      </c>
      <c r="W34" s="54">
        <f t="shared" si="1"/>
        <v>4.0840704496667312E-6</v>
      </c>
      <c r="X34" s="55">
        <f t="shared" si="2"/>
        <v>1E-3</v>
      </c>
      <c r="Y34" s="56">
        <f t="shared" si="12"/>
        <v>1.8085750911618454</v>
      </c>
      <c r="Z34" s="18"/>
      <c r="AA34" s="53">
        <f t="shared" si="3"/>
        <v>397.88735772973837</v>
      </c>
      <c r="AB34" s="54">
        <f t="shared" si="4"/>
        <v>2.5132741228718346E-6</v>
      </c>
      <c r="AC34" s="56">
        <f t="shared" si="5"/>
        <v>6.0000000000000001E-3</v>
      </c>
      <c r="AD34" s="56">
        <f t="shared" si="6"/>
        <v>0</v>
      </c>
      <c r="AE34" s="15"/>
      <c r="AF34" s="53">
        <f t="shared" si="7"/>
        <v>795.77471545947674</v>
      </c>
      <c r="AG34" s="54">
        <f t="shared" si="8"/>
        <v>6.2831853071795858E-6</v>
      </c>
      <c r="AH34" s="56">
        <f t="shared" si="9"/>
        <v>1E-4</v>
      </c>
      <c r="AI34" s="56">
        <f t="shared" si="10"/>
        <v>0</v>
      </c>
      <c r="AJ34" s="15"/>
    </row>
    <row r="35" spans="2:36" ht="16.5" x14ac:dyDescent="0.45">
      <c r="B35" s="2" t="s">
        <v>98</v>
      </c>
      <c r="C35" s="22">
        <v>0.1</v>
      </c>
      <c r="D35" s="16" t="s">
        <v>8</v>
      </c>
      <c r="H35" s="2" t="s">
        <v>63</v>
      </c>
      <c r="I35" s="49">
        <v>60</v>
      </c>
      <c r="J35" s="50">
        <v>65</v>
      </c>
      <c r="K35" s="26"/>
      <c r="L35" s="26"/>
      <c r="M35" s="26"/>
      <c r="R35" s="49">
        <v>3000</v>
      </c>
      <c r="S35" s="6" cm="1">
        <f t="array" ref="S35">_xlfn.IFS(AND($C$34="Yes", $C$44="Yes"),1/((1/Y35)+(1/AD35)+(1/AI35)), AND($C$34="Yes", $C$44="No"), 1/((1/Y35)+(1/AD35)), AND($C$34="No", $C$44="Yes"), 1/((1/Y35)+(1/AI35)), AND($C$34="No", $C$44="No"), 1/(1/Y35))</f>
        <v>1.2057135544342832</v>
      </c>
      <c r="T35" s="6">
        <f t="shared" si="11"/>
        <v>5.5624585477376753E-2</v>
      </c>
      <c r="V35" s="53">
        <f t="shared" si="0"/>
        <v>1.2057192658476918</v>
      </c>
      <c r="W35" s="54">
        <f t="shared" si="1"/>
        <v>6.1261056745000964E-6</v>
      </c>
      <c r="X35" s="55">
        <f t="shared" si="2"/>
        <v>1E-3</v>
      </c>
      <c r="Y35" s="56">
        <f t="shared" si="12"/>
        <v>1.2057135544342832</v>
      </c>
      <c r="Z35" s="18"/>
      <c r="AA35" s="53">
        <f t="shared" si="3"/>
        <v>265.25823848649225</v>
      </c>
      <c r="AB35" s="54">
        <f t="shared" si="4"/>
        <v>3.7699111843077525E-6</v>
      </c>
      <c r="AC35" s="56">
        <f t="shared" si="5"/>
        <v>6.0000000000000001E-3</v>
      </c>
      <c r="AD35" s="56">
        <f t="shared" si="6"/>
        <v>0</v>
      </c>
      <c r="AE35" s="15"/>
      <c r="AF35" s="53">
        <f t="shared" si="7"/>
        <v>530.51647697298449</v>
      </c>
      <c r="AG35" s="54">
        <f t="shared" si="8"/>
        <v>9.4247779607693791E-6</v>
      </c>
      <c r="AH35" s="56">
        <f t="shared" si="9"/>
        <v>1E-4</v>
      </c>
      <c r="AI35" s="56">
        <f t="shared" si="10"/>
        <v>0</v>
      </c>
      <c r="AJ35" s="15"/>
    </row>
    <row r="36" spans="2:36" x14ac:dyDescent="0.35">
      <c r="B36" s="2" t="s">
        <v>97</v>
      </c>
      <c r="C36" s="17">
        <v>12</v>
      </c>
      <c r="D36" s="6" t="s">
        <v>16</v>
      </c>
      <c r="G36" s="1"/>
      <c r="H36" s="2" t="s">
        <v>65</v>
      </c>
      <c r="I36" s="49">
        <v>35</v>
      </c>
      <c r="J36" s="50">
        <v>25</v>
      </c>
      <c r="K36" s="26"/>
      <c r="L36" s="26"/>
      <c r="M36" s="26"/>
      <c r="R36" s="49">
        <v>4000</v>
      </c>
      <c r="S36" s="6" cm="1">
        <f t="array" ref="S36">_xlfn.IFS(AND($C$34="Yes", $C$44="Yes"),1/((1/Y36)+(1/AD36)+(1/AI36)), AND($C$34="Yes", $C$44="No"), 1/((1/Y36)+(1/AD36)), AND($C$34="No", $C$44="Yes"), 1/((1/Y36)+(1/AI36)), AND($C$34="No", $C$44="No"), 1/(1/Y36))</f>
        <v>0.9042818341700023</v>
      </c>
      <c r="T36" s="6">
        <f t="shared" si="11"/>
        <v>5.5624585477376753E-2</v>
      </c>
      <c r="V36" s="53">
        <f t="shared" si="0"/>
        <v>0.90428944938576916</v>
      </c>
      <c r="W36" s="54">
        <f t="shared" si="1"/>
        <v>8.1681408993334625E-6</v>
      </c>
      <c r="X36" s="55">
        <f t="shared" si="2"/>
        <v>1E-3</v>
      </c>
      <c r="Y36" s="56">
        <f t="shared" si="12"/>
        <v>0.9042818341700023</v>
      </c>
      <c r="Z36" s="18"/>
      <c r="AA36" s="53">
        <f t="shared" si="3"/>
        <v>198.94367886486918</v>
      </c>
      <c r="AB36" s="54">
        <f t="shared" si="4"/>
        <v>5.0265482457436692E-6</v>
      </c>
      <c r="AC36" s="56">
        <f t="shared" si="5"/>
        <v>6.0000000000000001E-3</v>
      </c>
      <c r="AD36" s="56">
        <f t="shared" si="6"/>
        <v>0</v>
      </c>
      <c r="AE36" s="15"/>
      <c r="AF36" s="53">
        <f t="shared" si="7"/>
        <v>397.88735772973837</v>
      </c>
      <c r="AG36" s="54">
        <f t="shared" si="8"/>
        <v>1.2566370614359172E-5</v>
      </c>
      <c r="AH36" s="56">
        <f t="shared" si="9"/>
        <v>1E-4</v>
      </c>
      <c r="AI36" s="56">
        <f t="shared" si="10"/>
        <v>0</v>
      </c>
      <c r="AJ36" s="15"/>
    </row>
    <row r="37" spans="2:36" x14ac:dyDescent="0.35">
      <c r="B37" s="2" t="s">
        <v>96</v>
      </c>
      <c r="C37" s="3">
        <v>0.4</v>
      </c>
      <c r="D37" s="16" t="s">
        <v>5</v>
      </c>
      <c r="G37" s="1"/>
      <c r="H37" s="2" t="s">
        <v>70</v>
      </c>
      <c r="I37" s="6"/>
      <c r="J37" s="50">
        <v>0.11899999999999999</v>
      </c>
      <c r="K37" s="26"/>
      <c r="L37" s="26"/>
      <c r="M37" s="26"/>
      <c r="R37" s="49">
        <v>5000</v>
      </c>
      <c r="S37" s="6" cm="1">
        <f t="array" ref="S37">_xlfn.IFS(AND($C$34="Yes", $C$44="Yes"),1/((1/Y37)+(1/AD37)+(1/AI37)), AND($C$34="Yes", $C$44="No"), 1/((1/Y37)+(1/AD37)), AND($C$34="No", $C$44="Yes"), 1/((1/Y37)+(1/AI37)), AND($C$34="No", $C$44="No"), 1/(1/Y37))</f>
        <v>0.72342204049229952</v>
      </c>
      <c r="T37" s="6">
        <f t="shared" si="11"/>
        <v>5.5624585477376753E-2</v>
      </c>
      <c r="V37" s="53">
        <f t="shared" si="0"/>
        <v>0.72343155950861526</v>
      </c>
      <c r="W37" s="54">
        <f t="shared" si="1"/>
        <v>1.0210176124166828E-5</v>
      </c>
      <c r="X37" s="55">
        <f t="shared" si="2"/>
        <v>1E-3</v>
      </c>
      <c r="Y37" s="56">
        <f t="shared" si="12"/>
        <v>0.72342204049229952</v>
      </c>
      <c r="Z37" s="18"/>
      <c r="AA37" s="53">
        <f t="shared" si="3"/>
        <v>159.15494309189532</v>
      </c>
      <c r="AB37" s="54">
        <f t="shared" si="4"/>
        <v>6.2831853071795875E-6</v>
      </c>
      <c r="AC37" s="56">
        <f t="shared" si="5"/>
        <v>6.0000000000000001E-3</v>
      </c>
      <c r="AD37" s="56">
        <f t="shared" si="6"/>
        <v>0</v>
      </c>
      <c r="AE37" s="15"/>
      <c r="AF37" s="53">
        <f t="shared" si="7"/>
        <v>318.30988618379064</v>
      </c>
      <c r="AG37" s="54">
        <f t="shared" si="8"/>
        <v>1.5707963267948967E-5</v>
      </c>
      <c r="AH37" s="56">
        <f t="shared" si="9"/>
        <v>1E-4</v>
      </c>
      <c r="AI37" s="56">
        <f t="shared" si="10"/>
        <v>0</v>
      </c>
      <c r="AJ37" s="15"/>
    </row>
    <row r="38" spans="2:36" x14ac:dyDescent="0.35">
      <c r="B38" s="2" t="s">
        <v>158</v>
      </c>
      <c r="C38" s="3">
        <v>2</v>
      </c>
      <c r="D38" s="16"/>
      <c r="H38" s="2" t="s">
        <v>66</v>
      </c>
      <c r="I38" s="50">
        <v>1.4870000000000001</v>
      </c>
      <c r="J38" s="50">
        <v>1.8340000000000001</v>
      </c>
      <c r="R38" s="49">
        <v>6000</v>
      </c>
      <c r="S38" s="6" cm="1">
        <f t="array" ref="S38">_xlfn.IFS(AND($C$34="Yes", $C$44="Yes"),1/((1/Y38)+(1/AD38)+(1/AI38)), AND($C$34="Yes", $C$44="No"), 1/((1/Y38)+(1/AD38)), AND($C$34="No", $C$44="Yes"), 1/((1/Y38)+(1/AI38)), AND($C$34="No", $C$44="No"), 1/(1/Y38))</f>
        <v>0.60284821010924317</v>
      </c>
      <c r="T38" s="6">
        <f t="shared" si="11"/>
        <v>5.5624585477376753E-2</v>
      </c>
      <c r="V38" s="53">
        <f t="shared" ref="V38:V55" si="13">1/(2*PI()*$R38*$C$25*$C$22*0.000001)</f>
        <v>0.60285963292384592</v>
      </c>
      <c r="W38" s="54">
        <f t="shared" ref="W38:W55" si="14">2*PI()*$R38*((0.000000001*$C$24)/$C$25)</f>
        <v>1.2252211349000193E-5</v>
      </c>
      <c r="X38" s="55">
        <f t="shared" ref="X38:X69" si="15">(0.001*$C$23)/$C$25</f>
        <v>1E-3</v>
      </c>
      <c r="Y38" s="56">
        <f t="shared" si="12"/>
        <v>0.60284821010924317</v>
      </c>
      <c r="Z38" s="18"/>
      <c r="AA38" s="53">
        <f t="shared" ref="AA38:AA55" si="16">1/(2*PI()*$R38*$C$38*$C$35*0.000001)</f>
        <v>132.62911924324612</v>
      </c>
      <c r="AB38" s="54">
        <f t="shared" ref="AB38:AB55" si="17">2*PI()*$R38*((0.000000001*$C$37)/$C$38)</f>
        <v>7.539822368615505E-6</v>
      </c>
      <c r="AC38" s="56">
        <f t="shared" ref="AC38:AC55" si="18">(0.001*$C$36)/$C$38</f>
        <v>6.0000000000000001E-3</v>
      </c>
      <c r="AD38" s="56">
        <f t="shared" ref="AD38:AD55" si="19">IF($C$34="Yes", SQRT(AC38^(2)+ABS(AA38-AB38)^(2)), 0)</f>
        <v>0</v>
      </c>
      <c r="AE38" s="15"/>
      <c r="AF38" s="53">
        <f t="shared" ref="AF38:AF55" si="20">1/(2*PI()*$R38*$C$48*$C$45*0.000001)</f>
        <v>265.25823848649225</v>
      </c>
      <c r="AG38" s="54">
        <f t="shared" ref="AG38:AG55" si="21">2*PI()*$R38*((0.000000001*$C$47)/$C$48)</f>
        <v>1.8849555921538758E-5</v>
      </c>
      <c r="AH38" s="56">
        <f t="shared" ref="AH38:AH55" si="22">(0.001*$C$46)/$C$48</f>
        <v>1E-4</v>
      </c>
      <c r="AI38" s="56">
        <f t="shared" ref="AI38:AI55" si="23">IF($C$44="Yes", SQRT(AH38^(2)+ABS(AF38-AG38)^(2)), 0)</f>
        <v>0</v>
      </c>
      <c r="AJ38" s="15"/>
    </row>
    <row r="39" spans="2:36" ht="16.5" x14ac:dyDescent="0.45">
      <c r="B39" s="2" t="s">
        <v>95</v>
      </c>
      <c r="C39" s="40">
        <f>C35*C38</f>
        <v>0.2</v>
      </c>
      <c r="D39" s="16" t="s">
        <v>8</v>
      </c>
      <c r="H39" s="2" t="s">
        <v>67</v>
      </c>
      <c r="I39" s="50" t="s">
        <v>61</v>
      </c>
      <c r="J39" s="50" t="s">
        <v>68</v>
      </c>
      <c r="R39" s="49">
        <v>7000</v>
      </c>
      <c r="S39" s="6" cm="1">
        <f t="array" ref="S39">_xlfn.IFS(AND($C$34="Yes", $C$44="Yes"),1/((1/Y39)+(1/AD39)+(1/AI39)), AND($C$34="Yes", $C$44="No"), 1/((1/Y39)+(1/AD39)), AND($C$34="No", $C$44="Yes"), 1/((1/Y39)+(1/AI39)), AND($C$34="No", $C$44="No"), 1/(1/Y39))</f>
        <v>0.51672350161026426</v>
      </c>
      <c r="T39" s="6">
        <f t="shared" si="11"/>
        <v>5.5624585477376753E-2</v>
      </c>
      <c r="V39" s="53">
        <f t="shared" si="13"/>
        <v>0.51673682822043954</v>
      </c>
      <c r="W39" s="54">
        <f t="shared" si="14"/>
        <v>1.4294246573833558E-5</v>
      </c>
      <c r="X39" s="55">
        <f t="shared" si="15"/>
        <v>1E-3</v>
      </c>
      <c r="Y39" s="56">
        <f t="shared" si="12"/>
        <v>0.51672350161026426</v>
      </c>
      <c r="Z39" s="18"/>
      <c r="AA39" s="53">
        <f t="shared" si="16"/>
        <v>113.68210220849669</v>
      </c>
      <c r="AB39" s="54">
        <f t="shared" si="17"/>
        <v>8.7964594300514217E-6</v>
      </c>
      <c r="AC39" s="56">
        <f t="shared" si="18"/>
        <v>6.0000000000000001E-3</v>
      </c>
      <c r="AD39" s="56">
        <f t="shared" si="19"/>
        <v>0</v>
      </c>
      <c r="AE39" s="15"/>
      <c r="AF39" s="53">
        <f t="shared" si="20"/>
        <v>227.36420441699337</v>
      </c>
      <c r="AG39" s="54">
        <f t="shared" si="21"/>
        <v>2.1991148575128552E-5</v>
      </c>
      <c r="AH39" s="56">
        <f t="shared" si="22"/>
        <v>1E-4</v>
      </c>
      <c r="AI39" s="56">
        <f t="shared" si="23"/>
        <v>0</v>
      </c>
      <c r="AJ39" s="15"/>
    </row>
    <row r="40" spans="2:36" x14ac:dyDescent="0.35">
      <c r="B40" s="2" t="s">
        <v>94</v>
      </c>
      <c r="C40" s="40">
        <f>C36/C38</f>
        <v>6</v>
      </c>
      <c r="D40" s="6" t="s">
        <v>16</v>
      </c>
      <c r="I40" s="20"/>
      <c r="R40" s="49">
        <v>8000</v>
      </c>
      <c r="S40" s="6" cm="1">
        <f t="array" ref="S40">_xlfn.IFS(AND($C$34="Yes", $C$44="Yes"),1/((1/Y40)+(1/AD40)+(1/AI40)), AND($C$34="Yes", $C$44="No"), 1/((1/Y40)+(1/AD40)), AND($C$34="No", $C$44="Yes"), 1/((1/Y40)+(1/AI40)), AND($C$34="No", $C$44="No"), 1/(1/Y40))</f>
        <v>0.45212949429030375</v>
      </c>
      <c r="T40" s="6">
        <f t="shared" si="11"/>
        <v>5.5624585477376753E-2</v>
      </c>
      <c r="V40" s="53">
        <f t="shared" si="13"/>
        <v>0.45214472469288458</v>
      </c>
      <c r="W40" s="54">
        <f t="shared" si="14"/>
        <v>1.6336281798666925E-5</v>
      </c>
      <c r="X40" s="55">
        <f t="shared" si="15"/>
        <v>1E-3</v>
      </c>
      <c r="Y40" s="56">
        <f t="shared" si="12"/>
        <v>0.45212949429030375</v>
      </c>
      <c r="Z40" s="18"/>
      <c r="AA40" s="53">
        <f t="shared" si="16"/>
        <v>99.471839432434592</v>
      </c>
      <c r="AB40" s="54">
        <f t="shared" si="17"/>
        <v>1.0053096491487338E-5</v>
      </c>
      <c r="AC40" s="56">
        <f t="shared" si="18"/>
        <v>6.0000000000000001E-3</v>
      </c>
      <c r="AD40" s="56">
        <f t="shared" si="19"/>
        <v>0</v>
      </c>
      <c r="AE40" s="15"/>
      <c r="AF40" s="53">
        <f t="shared" si="20"/>
        <v>198.94367886486918</v>
      </c>
      <c r="AG40" s="54">
        <f t="shared" si="21"/>
        <v>2.5132741228718343E-5</v>
      </c>
      <c r="AH40" s="56">
        <f t="shared" si="22"/>
        <v>1E-4</v>
      </c>
      <c r="AI40" s="56">
        <f t="shared" si="23"/>
        <v>0</v>
      </c>
      <c r="AJ40" s="15"/>
    </row>
    <row r="41" spans="2:36" x14ac:dyDescent="0.35">
      <c r="B41" s="2" t="s">
        <v>93</v>
      </c>
      <c r="C41" s="40">
        <f>C37/C38</f>
        <v>0.2</v>
      </c>
      <c r="D41" s="16" t="s">
        <v>5</v>
      </c>
      <c r="R41" s="49">
        <v>9000</v>
      </c>
      <c r="S41" s="6" cm="1">
        <f t="array" ref="S41">_xlfn.IFS(AND($C$34="Yes", $C$44="Yes"),1/((1/Y41)+(1/AD41)+(1/AI41)), AND($C$34="Yes", $C$44="No"), 1/((1/Y41)+(1/AD41)), AND($C$34="No", $C$44="Yes"), 1/((1/Y41)+(1/AI41)), AND($C$34="No", $C$44="No"), 1/(1/Y41))</f>
        <v>0.40188928775786348</v>
      </c>
      <c r="T41" s="6">
        <f t="shared" si="11"/>
        <v>5.5624585477376753E-2</v>
      </c>
      <c r="V41" s="53">
        <f t="shared" si="13"/>
        <v>0.4019064219492306</v>
      </c>
      <c r="W41" s="54">
        <f t="shared" si="14"/>
        <v>1.8378317023500292E-5</v>
      </c>
      <c r="X41" s="55">
        <f t="shared" si="15"/>
        <v>1E-3</v>
      </c>
      <c r="Y41" s="56">
        <f t="shared" si="12"/>
        <v>0.40188928775786348</v>
      </c>
      <c r="Z41" s="18"/>
      <c r="AA41" s="53">
        <f t="shared" si="16"/>
        <v>88.41941282883073</v>
      </c>
      <c r="AB41" s="54">
        <f t="shared" si="17"/>
        <v>1.1309733552923258E-5</v>
      </c>
      <c r="AC41" s="56">
        <f t="shared" si="18"/>
        <v>6.0000000000000001E-3</v>
      </c>
      <c r="AD41" s="56">
        <f t="shared" si="19"/>
        <v>0</v>
      </c>
      <c r="AE41" s="15"/>
      <c r="AF41" s="53">
        <f t="shared" si="20"/>
        <v>176.83882565766146</v>
      </c>
      <c r="AG41" s="54">
        <f t="shared" si="21"/>
        <v>2.8274333882308141E-5</v>
      </c>
      <c r="AH41" s="56">
        <f t="shared" si="22"/>
        <v>1E-4</v>
      </c>
      <c r="AI41" s="56">
        <f t="shared" si="23"/>
        <v>0</v>
      </c>
      <c r="AJ41" s="15"/>
    </row>
    <row r="42" spans="2:36" ht="16.5" x14ac:dyDescent="0.45">
      <c r="B42" s="2" t="s">
        <v>92</v>
      </c>
      <c r="C42" s="48">
        <f>1/(2*PI()*SQRT(C41*0.000000001*C39*0.000001))/1000</f>
        <v>25164.606052243515</v>
      </c>
      <c r="D42" s="16" t="s">
        <v>85</v>
      </c>
      <c r="H42" s="6"/>
      <c r="I42" s="2" t="s">
        <v>134</v>
      </c>
      <c r="J42" s="2" t="s">
        <v>135</v>
      </c>
      <c r="K42" s="2" t="s">
        <v>136</v>
      </c>
      <c r="L42" s="2" t="s">
        <v>77</v>
      </c>
      <c r="M42" s="1"/>
      <c r="R42" s="49">
        <v>10000</v>
      </c>
      <c r="S42" s="6" cm="1">
        <f t="array" ref="S42">_xlfn.IFS(AND($C$34="Yes", $C$44="Yes"),1/((1/Y42)+(1/AD42)+(1/AI42)), AND($C$34="Yes", $C$44="No"), 1/((1/Y42)+(1/AD42)), AND($C$34="No", $C$44="Yes"), 1/((1/Y42)+(1/AI42)), AND($C$34="No", $C$44="No"), 1/(1/Y42))</f>
        <v>0.36169674177822619</v>
      </c>
      <c r="T42" s="6">
        <f t="shared" si="11"/>
        <v>5.5624585477376753E-2</v>
      </c>
      <c r="V42" s="53">
        <f t="shared" si="13"/>
        <v>0.36171577975430763</v>
      </c>
      <c r="W42" s="54">
        <f t="shared" si="14"/>
        <v>2.0420352248333655E-5</v>
      </c>
      <c r="X42" s="55">
        <f t="shared" si="15"/>
        <v>1E-3</v>
      </c>
      <c r="Y42" s="56">
        <f t="shared" si="12"/>
        <v>0.36169674177822619</v>
      </c>
      <c r="Z42" s="18"/>
      <c r="AA42" s="53">
        <f t="shared" si="16"/>
        <v>79.57747154594766</v>
      </c>
      <c r="AB42" s="54">
        <f t="shared" si="17"/>
        <v>1.2566370614359175E-5</v>
      </c>
      <c r="AC42" s="56">
        <f t="shared" si="18"/>
        <v>6.0000000000000001E-3</v>
      </c>
      <c r="AD42" s="56">
        <f t="shared" si="19"/>
        <v>0</v>
      </c>
      <c r="AE42" s="15"/>
      <c r="AF42" s="53">
        <f t="shared" si="20"/>
        <v>159.15494309189532</v>
      </c>
      <c r="AG42" s="54">
        <f t="shared" si="21"/>
        <v>3.1415926535897935E-5</v>
      </c>
      <c r="AH42" s="56">
        <f t="shared" si="22"/>
        <v>1E-4</v>
      </c>
      <c r="AI42" s="56">
        <f t="shared" si="23"/>
        <v>0</v>
      </c>
      <c r="AJ42" s="15"/>
    </row>
    <row r="43" spans="2:36" x14ac:dyDescent="0.35">
      <c r="H43" s="2" t="s">
        <v>78</v>
      </c>
      <c r="I43" s="6">
        <f>C22</f>
        <v>22</v>
      </c>
      <c r="J43" s="6">
        <f>IF($C$34="Yes", C35, 0)</f>
        <v>0</v>
      </c>
      <c r="K43" s="6">
        <f>IF($C$44="Yes", C45, 0)</f>
        <v>0</v>
      </c>
      <c r="L43" s="6">
        <f>I46*$I$43+J46*$J$43+K46*$K$43</f>
        <v>44</v>
      </c>
      <c r="R43" s="49">
        <v>20000</v>
      </c>
      <c r="S43" s="6" cm="1">
        <f t="array" ref="S43">_xlfn.IFS(AND($C$34="Yes", $C$44="Yes"),1/((1/Y43)+(1/AD43)+(1/AI43)), AND($C$34="Yes", $C$44="No"), 1/((1/Y43)+(1/AD43)), AND($C$34="No", $C$44="Yes"), 1/((1/Y43)+(1/AI43)), AND($C$34="No", $C$44="No"), 1/(1/Y43))</f>
        <v>0.18081981437748218</v>
      </c>
      <c r="T43" s="6">
        <f t="shared" si="11"/>
        <v>5.5624585477376753E-2</v>
      </c>
      <c r="V43" s="53">
        <f t="shared" si="13"/>
        <v>0.18085788987715382</v>
      </c>
      <c r="W43" s="54">
        <f t="shared" si="14"/>
        <v>4.0840704496667311E-5</v>
      </c>
      <c r="X43" s="55">
        <f t="shared" si="15"/>
        <v>1E-3</v>
      </c>
      <c r="Y43" s="56">
        <f t="shared" si="12"/>
        <v>0.18081981437748218</v>
      </c>
      <c r="Z43" s="18"/>
      <c r="AA43" s="53">
        <f t="shared" si="16"/>
        <v>39.78873577297383</v>
      </c>
      <c r="AB43" s="54">
        <f t="shared" si="17"/>
        <v>2.513274122871835E-5</v>
      </c>
      <c r="AC43" s="56">
        <f t="shared" si="18"/>
        <v>6.0000000000000001E-3</v>
      </c>
      <c r="AD43" s="56">
        <f t="shared" si="19"/>
        <v>0</v>
      </c>
      <c r="AE43" s="15"/>
      <c r="AF43" s="53">
        <f t="shared" si="20"/>
        <v>79.57747154594766</v>
      </c>
      <c r="AG43" s="54">
        <f t="shared" si="21"/>
        <v>6.283185307179587E-5</v>
      </c>
      <c r="AH43" s="56">
        <f t="shared" si="22"/>
        <v>1E-4</v>
      </c>
      <c r="AI43" s="56">
        <f t="shared" si="23"/>
        <v>0</v>
      </c>
      <c r="AJ43" s="15"/>
    </row>
    <row r="44" spans="2:36" x14ac:dyDescent="0.35">
      <c r="B44" s="2" t="s">
        <v>100</v>
      </c>
      <c r="C44" s="3" t="s">
        <v>37</v>
      </c>
      <c r="H44" s="2" t="s">
        <v>79</v>
      </c>
      <c r="I44" s="6">
        <f>C23</f>
        <v>2</v>
      </c>
      <c r="J44" s="6">
        <f>IF($C$34="Yes", C36, 0)</f>
        <v>0</v>
      </c>
      <c r="K44" s="6">
        <f>IF($C$44="Yes", C46, 0)</f>
        <v>0</v>
      </c>
      <c r="L44" s="6"/>
      <c r="R44" s="49">
        <v>30000</v>
      </c>
      <c r="S44" s="6" cm="1">
        <f t="array" ref="S44">_xlfn.IFS(AND($C$34="Yes", $C$44="Yes"),1/((1/Y44)+(1/AD44)+(1/AI44)), AND($C$34="Yes", $C$44="No"), 1/((1/Y44)+(1/AD44)), AND($C$34="No", $C$44="Yes"), 1/((1/Y44)+(1/AI44)), AND($C$34="No", $C$44="No"), 1/(1/Y44))</f>
        <v>0.12051481446696637</v>
      </c>
      <c r="T44" s="6">
        <f t="shared" si="11"/>
        <v>5.5624585477376753E-2</v>
      </c>
      <c r="V44" s="53">
        <f t="shared" si="13"/>
        <v>0.12057192658476922</v>
      </c>
      <c r="W44" s="54">
        <f t="shared" si="14"/>
        <v>6.1261056745000973E-5</v>
      </c>
      <c r="X44" s="55">
        <f t="shared" si="15"/>
        <v>1E-3</v>
      </c>
      <c r="Y44" s="56">
        <f t="shared" si="12"/>
        <v>0.12051481446696635</v>
      </c>
      <c r="Z44" s="18"/>
      <c r="AA44" s="53">
        <f t="shared" si="16"/>
        <v>26.525823848649225</v>
      </c>
      <c r="AB44" s="54">
        <f t="shared" si="17"/>
        <v>3.7699111843077523E-5</v>
      </c>
      <c r="AC44" s="56">
        <f t="shared" si="18"/>
        <v>6.0000000000000001E-3</v>
      </c>
      <c r="AD44" s="56">
        <f t="shared" si="19"/>
        <v>0</v>
      </c>
      <c r="AE44" s="15"/>
      <c r="AF44" s="53">
        <f t="shared" si="20"/>
        <v>53.051647697298449</v>
      </c>
      <c r="AG44" s="54">
        <f t="shared" si="21"/>
        <v>9.4247779607693798E-5</v>
      </c>
      <c r="AH44" s="56">
        <f t="shared" si="22"/>
        <v>1E-4</v>
      </c>
      <c r="AI44" s="56">
        <f t="shared" si="23"/>
        <v>0</v>
      </c>
      <c r="AJ44" s="15"/>
    </row>
    <row r="45" spans="2:36" ht="16.5" x14ac:dyDescent="0.45">
      <c r="B45" s="2" t="s">
        <v>101</v>
      </c>
      <c r="C45" s="22">
        <v>0.1</v>
      </c>
      <c r="D45" s="16" t="s">
        <v>8</v>
      </c>
      <c r="H45" s="2" t="s">
        <v>80</v>
      </c>
      <c r="I45" s="6">
        <f>C24</f>
        <v>0.65</v>
      </c>
      <c r="J45" s="6">
        <f>IF($C$34="Yes", C37, 0)</f>
        <v>0</v>
      </c>
      <c r="K45" s="6">
        <f>IF($C$44="Yes", C47, 0)</f>
        <v>0</v>
      </c>
      <c r="L45" s="6"/>
      <c r="R45" s="49">
        <v>40000</v>
      </c>
      <c r="S45" s="6" cm="1">
        <f t="array" ref="S45">_xlfn.IFS(AND($C$34="Yes", $C$44="Yes"),1/((1/Y45)+(1/AD45)+(1/AI45)), AND($C$34="Yes", $C$44="No"), 1/((1/Y45)+(1/AD45)), AND($C$34="No", $C$44="Yes"), 1/((1/Y45)+(1/AI45)), AND($C$34="No", $C$44="No"), 1/(1/Y45))</f>
        <v>9.0352797562023607E-2</v>
      </c>
      <c r="T45" s="6">
        <f t="shared" si="11"/>
        <v>5.5624585477376753E-2</v>
      </c>
      <c r="V45" s="53">
        <f t="shared" si="13"/>
        <v>9.0428944938576908E-2</v>
      </c>
      <c r="W45" s="54">
        <f t="shared" si="14"/>
        <v>8.1681408993334621E-5</v>
      </c>
      <c r="X45" s="55">
        <f t="shared" si="15"/>
        <v>1E-3</v>
      </c>
      <c r="Y45" s="56">
        <f t="shared" si="12"/>
        <v>9.0352797562023607E-2</v>
      </c>
      <c r="Z45" s="18"/>
      <c r="AA45" s="53">
        <f t="shared" si="16"/>
        <v>19.894367886486915</v>
      </c>
      <c r="AB45" s="54">
        <f t="shared" si="17"/>
        <v>5.02654824574367E-5</v>
      </c>
      <c r="AC45" s="56">
        <f t="shared" si="18"/>
        <v>6.0000000000000001E-3</v>
      </c>
      <c r="AD45" s="56">
        <f t="shared" si="19"/>
        <v>0</v>
      </c>
      <c r="AE45" s="15"/>
      <c r="AF45" s="53">
        <f t="shared" si="20"/>
        <v>39.78873577297383</v>
      </c>
      <c r="AG45" s="54">
        <f t="shared" si="21"/>
        <v>1.2566370614359174E-4</v>
      </c>
      <c r="AH45" s="56">
        <f t="shared" si="22"/>
        <v>1E-4</v>
      </c>
      <c r="AI45" s="56">
        <f t="shared" si="23"/>
        <v>0</v>
      </c>
      <c r="AJ45" s="15"/>
    </row>
    <row r="46" spans="2:36" x14ac:dyDescent="0.35">
      <c r="B46" s="2" t="s">
        <v>102</v>
      </c>
      <c r="C46" s="17">
        <v>0.1</v>
      </c>
      <c r="D46" s="6" t="s">
        <v>16</v>
      </c>
      <c r="H46" s="2" t="s">
        <v>59</v>
      </c>
      <c r="I46" s="6">
        <f>C25</f>
        <v>2</v>
      </c>
      <c r="J46" s="6">
        <f>IF($C$34="Yes", C38, 0)</f>
        <v>0</v>
      </c>
      <c r="K46" s="6">
        <f>IF($C$44="Yes", C48, 0)</f>
        <v>0</v>
      </c>
      <c r="L46" s="6">
        <f>SUM(I46:K46)</f>
        <v>2</v>
      </c>
      <c r="R46" s="49">
        <v>50000</v>
      </c>
      <c r="S46" s="6" cm="1">
        <f t="array" ref="S46">_xlfn.IFS(AND($C$34="Yes", $C$44="Yes"),1/((1/Y46)+(1/AD46)+(1/AI46)), AND($C$34="Yes", $C$44="No"), 1/((1/Y46)+(1/AD46)), AND($C$34="No", $C$44="Yes"), 1/((1/Y46)+(1/AI46)), AND($C$34="No", $C$44="No"), 1/(1/Y46))</f>
        <v>7.2247975130294073E-2</v>
      </c>
      <c r="T46" s="6">
        <f t="shared" si="11"/>
        <v>5.5624585477376753E-2</v>
      </c>
      <c r="V46" s="53">
        <f t="shared" si="13"/>
        <v>7.2343155950861521E-2</v>
      </c>
      <c r="W46" s="54">
        <f t="shared" si="14"/>
        <v>1.0210176124166827E-4</v>
      </c>
      <c r="X46" s="55">
        <f t="shared" si="15"/>
        <v>1E-3</v>
      </c>
      <c r="Y46" s="56">
        <f t="shared" si="12"/>
        <v>7.2247975130294073E-2</v>
      </c>
      <c r="Z46" s="18"/>
      <c r="AA46" s="53">
        <f t="shared" si="16"/>
        <v>15.915494309189533</v>
      </c>
      <c r="AB46" s="54">
        <f t="shared" si="17"/>
        <v>6.283185307179587E-5</v>
      </c>
      <c r="AC46" s="56">
        <f t="shared" si="18"/>
        <v>6.0000000000000001E-3</v>
      </c>
      <c r="AD46" s="56">
        <f t="shared" si="19"/>
        <v>0</v>
      </c>
      <c r="AE46" s="15"/>
      <c r="AF46" s="53">
        <f t="shared" si="20"/>
        <v>31.830988618379067</v>
      </c>
      <c r="AG46" s="54">
        <f t="shared" si="21"/>
        <v>1.5707963267948965E-4</v>
      </c>
      <c r="AH46" s="56">
        <f t="shared" si="22"/>
        <v>1E-4</v>
      </c>
      <c r="AI46" s="56">
        <f t="shared" si="23"/>
        <v>0</v>
      </c>
      <c r="AJ46" s="15"/>
    </row>
    <row r="47" spans="2:36" x14ac:dyDescent="0.35">
      <c r="B47" s="2" t="s">
        <v>103</v>
      </c>
      <c r="C47" s="3">
        <v>0.5</v>
      </c>
      <c r="D47" s="16" t="s">
        <v>5</v>
      </c>
      <c r="I47" s="20"/>
      <c r="R47" s="49">
        <v>60000</v>
      </c>
      <c r="S47" s="6" cm="1">
        <f t="array" ref="S47">_xlfn.IFS(AND($C$34="Yes", $C$44="Yes"),1/((1/Y47)+(1/AD47)+(1/AI47)), AND($C$34="Yes", $C$44="No"), 1/((1/Y47)+(1/AD47)), AND($C$34="No", $C$44="Yes"), 1/((1/Y47)+(1/AI47)), AND($C$34="No", $C$44="No"), 1/(1/Y47))</f>
        <v>6.017175129981104E-2</v>
      </c>
      <c r="T47" s="6">
        <f t="shared" si="11"/>
        <v>5.5624585477376753E-2</v>
      </c>
      <c r="V47" s="53">
        <f t="shared" si="13"/>
        <v>6.0285963292384608E-2</v>
      </c>
      <c r="W47" s="54">
        <f t="shared" si="14"/>
        <v>1.2252211349000195E-4</v>
      </c>
      <c r="X47" s="55">
        <f t="shared" si="15"/>
        <v>1E-3</v>
      </c>
      <c r="Y47" s="56">
        <f t="shared" si="12"/>
        <v>6.017175129981104E-2</v>
      </c>
      <c r="Z47" s="18"/>
      <c r="AA47" s="53">
        <f t="shared" si="16"/>
        <v>13.262911924324612</v>
      </c>
      <c r="AB47" s="54">
        <f t="shared" si="17"/>
        <v>7.5398223686155047E-5</v>
      </c>
      <c r="AC47" s="56">
        <f t="shared" si="18"/>
        <v>6.0000000000000001E-3</v>
      </c>
      <c r="AD47" s="56">
        <f t="shared" si="19"/>
        <v>0</v>
      </c>
      <c r="AE47" s="15"/>
      <c r="AF47" s="53">
        <f t="shared" si="20"/>
        <v>26.525823848649225</v>
      </c>
      <c r="AG47" s="54">
        <f t="shared" si="21"/>
        <v>1.884955592153876E-4</v>
      </c>
      <c r="AH47" s="56">
        <f t="shared" si="22"/>
        <v>1E-4</v>
      </c>
      <c r="AI47" s="56">
        <f t="shared" si="23"/>
        <v>0</v>
      </c>
      <c r="AJ47" s="15"/>
    </row>
    <row r="48" spans="2:36" x14ac:dyDescent="0.35">
      <c r="B48" s="2" t="s">
        <v>158</v>
      </c>
      <c r="C48" s="3">
        <v>1</v>
      </c>
      <c r="D48" s="16"/>
      <c r="I48" s="20"/>
      <c r="R48" s="49">
        <v>70000</v>
      </c>
      <c r="S48" s="6" cm="1">
        <f t="array" ref="S48">_xlfn.IFS(AND($C$34="Yes", $C$44="Yes"),1/((1/Y48)+(1/AD48)+(1/AI48)), AND($C$34="Yes", $C$44="No"), 1/((1/Y48)+(1/AD48)), AND($C$34="No", $C$44="Yes"), 1/((1/Y48)+(1/AI48)), AND($C$34="No", $C$44="No"), 1/(1/Y48))</f>
        <v>5.1540442389147033E-2</v>
      </c>
      <c r="T48" s="6">
        <f t="shared" si="11"/>
        <v>5.5624585477376753E-2</v>
      </c>
      <c r="V48" s="53">
        <f t="shared" si="13"/>
        <v>5.1673682822043952E-2</v>
      </c>
      <c r="W48" s="54">
        <f t="shared" si="14"/>
        <v>1.4294246573833558E-4</v>
      </c>
      <c r="X48" s="55">
        <f t="shared" si="15"/>
        <v>1E-3</v>
      </c>
      <c r="Y48" s="56">
        <f t="shared" si="12"/>
        <v>5.1540442389147033E-2</v>
      </c>
      <c r="Z48" s="18"/>
      <c r="AA48" s="53">
        <f t="shared" si="16"/>
        <v>11.368210220849667</v>
      </c>
      <c r="AB48" s="54">
        <f t="shared" si="17"/>
        <v>8.7964594300514223E-5</v>
      </c>
      <c r="AC48" s="56">
        <f t="shared" si="18"/>
        <v>6.0000000000000001E-3</v>
      </c>
      <c r="AD48" s="56">
        <f t="shared" si="19"/>
        <v>0</v>
      </c>
      <c r="AE48" s="15"/>
      <c r="AF48" s="53">
        <f t="shared" si="20"/>
        <v>22.736420441699334</v>
      </c>
      <c r="AG48" s="54">
        <f t="shared" si="21"/>
        <v>2.1991148575128551E-4</v>
      </c>
      <c r="AH48" s="56">
        <f t="shared" si="22"/>
        <v>1E-4</v>
      </c>
      <c r="AI48" s="56">
        <f t="shared" si="23"/>
        <v>0</v>
      </c>
      <c r="AJ48" s="15"/>
    </row>
    <row r="49" spans="2:36" ht="16.5" x14ac:dyDescent="0.45">
      <c r="B49" s="2" t="s">
        <v>104</v>
      </c>
      <c r="C49" s="40">
        <f>C45*C48</f>
        <v>0.1</v>
      </c>
      <c r="D49" s="16" t="s">
        <v>8</v>
      </c>
      <c r="I49" s="20"/>
      <c r="R49" s="49">
        <v>80000</v>
      </c>
      <c r="S49" s="6" cm="1">
        <f t="array" ref="S49">_xlfn.IFS(AND($C$34="Yes", $C$44="Yes"),1/((1/Y49)+(1/AD49)+(1/AI49)), AND($C$34="Yes", $C$44="No"), 1/((1/Y49)+(1/AD49)), AND($C$34="No", $C$44="Yes"), 1/((1/Y49)+(1/AI49)), AND($C$34="No", $C$44="No"), 1/(1/Y49))</f>
        <v>4.5062206790320608E-2</v>
      </c>
      <c r="T49" s="6">
        <f t="shared" si="11"/>
        <v>5.5624585477376753E-2</v>
      </c>
      <c r="V49" s="53">
        <f t="shared" si="13"/>
        <v>4.5214472469288454E-2</v>
      </c>
      <c r="W49" s="54">
        <f t="shared" si="14"/>
        <v>1.6336281798666924E-4</v>
      </c>
      <c r="X49" s="55">
        <f t="shared" si="15"/>
        <v>1E-3</v>
      </c>
      <c r="Y49" s="56">
        <f t="shared" si="12"/>
        <v>4.5062206790320608E-2</v>
      </c>
      <c r="Z49" s="18"/>
      <c r="AA49" s="53">
        <f t="shared" si="16"/>
        <v>9.9471839432434574</v>
      </c>
      <c r="AB49" s="54">
        <f t="shared" si="17"/>
        <v>1.005309649148734E-4</v>
      </c>
      <c r="AC49" s="56">
        <f t="shared" si="18"/>
        <v>6.0000000000000001E-3</v>
      </c>
      <c r="AD49" s="56">
        <f t="shared" si="19"/>
        <v>0</v>
      </c>
      <c r="AE49" s="15"/>
      <c r="AF49" s="53">
        <f t="shared" si="20"/>
        <v>19.894367886486915</v>
      </c>
      <c r="AG49" s="54">
        <f t="shared" si="21"/>
        <v>2.5132741228718348E-4</v>
      </c>
      <c r="AH49" s="56">
        <f t="shared" si="22"/>
        <v>1E-4</v>
      </c>
      <c r="AI49" s="56">
        <f t="shared" si="23"/>
        <v>0</v>
      </c>
      <c r="AJ49" s="15"/>
    </row>
    <row r="50" spans="2:36" x14ac:dyDescent="0.35">
      <c r="B50" s="2" t="s">
        <v>105</v>
      </c>
      <c r="C50" s="40">
        <f>C46/C48</f>
        <v>0.1</v>
      </c>
      <c r="D50" s="6" t="s">
        <v>16</v>
      </c>
      <c r="H50" s="2" t="s">
        <v>62</v>
      </c>
      <c r="I50" s="49" t="s">
        <v>161</v>
      </c>
      <c r="J50" s="49" t="s">
        <v>219</v>
      </c>
      <c r="K50" s="50" t="s">
        <v>69</v>
      </c>
      <c r="L50" s="50" t="s">
        <v>210</v>
      </c>
      <c r="M50" s="50" t="s">
        <v>214</v>
      </c>
      <c r="N50" s="50" t="s">
        <v>216</v>
      </c>
      <c r="R50" s="49">
        <v>90000</v>
      </c>
      <c r="S50" s="6" cm="1">
        <f t="array" ref="S50">_xlfn.IFS(AND($C$34="Yes", $C$44="Yes"),1/((1/Y50)+(1/AD50)+(1/AI50)), AND($C$34="Yes", $C$44="No"), 1/((1/Y50)+(1/AD50)), AND($C$34="No", $C$44="Yes"), 1/((1/Y50)+(1/AI50)), AND($C$34="No", $C$44="No"), 1/(1/Y50))</f>
        <v>4.0019354930099317E-2</v>
      </c>
      <c r="T50" s="6">
        <f t="shared" si="11"/>
        <v>5.5624585477376753E-2</v>
      </c>
      <c r="V50" s="53">
        <f t="shared" si="13"/>
        <v>4.0190642194923062E-2</v>
      </c>
      <c r="W50" s="54">
        <f t="shared" si="14"/>
        <v>1.8378317023500293E-4</v>
      </c>
      <c r="X50" s="55">
        <f t="shared" si="15"/>
        <v>1E-3</v>
      </c>
      <c r="Y50" s="56">
        <f t="shared" si="12"/>
        <v>4.0019354930099317E-2</v>
      </c>
      <c r="Z50" s="18"/>
      <c r="AA50" s="53">
        <f t="shared" si="16"/>
        <v>8.8419412828830737</v>
      </c>
      <c r="AB50" s="54">
        <f t="shared" si="17"/>
        <v>1.1309733552923258E-4</v>
      </c>
      <c r="AC50" s="56">
        <f t="shared" si="18"/>
        <v>6.0000000000000001E-3</v>
      </c>
      <c r="AD50" s="56">
        <f t="shared" si="19"/>
        <v>0</v>
      </c>
      <c r="AE50" s="15"/>
      <c r="AF50" s="53">
        <f t="shared" si="20"/>
        <v>17.683882565766147</v>
      </c>
      <c r="AG50" s="54">
        <f t="shared" si="21"/>
        <v>2.8274333882308142E-4</v>
      </c>
      <c r="AH50" s="56">
        <f t="shared" si="22"/>
        <v>1E-4</v>
      </c>
      <c r="AI50" s="56">
        <f t="shared" si="23"/>
        <v>0</v>
      </c>
      <c r="AJ50" s="15"/>
    </row>
    <row r="51" spans="2:36" x14ac:dyDescent="0.35">
      <c r="B51" s="2" t="s">
        <v>106</v>
      </c>
      <c r="C51" s="40">
        <f>C47/C48</f>
        <v>0.5</v>
      </c>
      <c r="D51" s="16" t="s">
        <v>5</v>
      </c>
      <c r="H51" s="2" t="s">
        <v>64</v>
      </c>
      <c r="I51" s="62">
        <v>47</v>
      </c>
      <c r="J51" s="62">
        <v>33</v>
      </c>
      <c r="K51" s="62">
        <v>47</v>
      </c>
      <c r="L51" s="62">
        <v>1</v>
      </c>
      <c r="M51" s="62">
        <v>0.1</v>
      </c>
      <c r="N51" s="62">
        <v>0.1</v>
      </c>
      <c r="R51" s="49">
        <v>100000</v>
      </c>
      <c r="S51" s="6" cm="1">
        <f t="array" ref="S51">_xlfn.IFS(AND($C$34="Yes", $C$44="Yes"),1/((1/Y51)+(1/AD51)+(1/AI51)), AND($C$34="Yes", $C$44="No"), 1/((1/Y51)+(1/AD51)), AND($C$34="No", $C$44="Yes"), 1/((1/Y51)+(1/AI51)), AND($C$34="No", $C$44="No"), 1/(1/Y51))</f>
        <v>3.5981273254827091E-2</v>
      </c>
      <c r="T51" s="6">
        <f t="shared" si="11"/>
        <v>5.5624585477376753E-2</v>
      </c>
      <c r="V51" s="53">
        <f t="shared" si="13"/>
        <v>3.617157797543076E-2</v>
      </c>
      <c r="W51" s="54">
        <f t="shared" si="14"/>
        <v>2.0420352248333654E-4</v>
      </c>
      <c r="X51" s="55">
        <f t="shared" si="15"/>
        <v>1E-3</v>
      </c>
      <c r="Y51" s="56">
        <f t="shared" si="12"/>
        <v>3.5981273254827091E-2</v>
      </c>
      <c r="Z51" s="18"/>
      <c r="AA51" s="53">
        <f t="shared" si="16"/>
        <v>7.9577471545947667</v>
      </c>
      <c r="AB51" s="54">
        <f t="shared" si="17"/>
        <v>1.2566370614359174E-4</v>
      </c>
      <c r="AC51" s="56">
        <f t="shared" si="18"/>
        <v>6.0000000000000001E-3</v>
      </c>
      <c r="AD51" s="56">
        <f t="shared" si="19"/>
        <v>0</v>
      </c>
      <c r="AE51" s="15"/>
      <c r="AF51" s="53">
        <f t="shared" si="20"/>
        <v>15.915494309189533</v>
      </c>
      <c r="AG51" s="54">
        <f t="shared" si="21"/>
        <v>3.1415926535897931E-4</v>
      </c>
      <c r="AH51" s="56">
        <f t="shared" si="22"/>
        <v>1E-4</v>
      </c>
      <c r="AI51" s="56">
        <f t="shared" si="23"/>
        <v>0</v>
      </c>
      <c r="AJ51" s="15"/>
    </row>
    <row r="52" spans="2:36" ht="16.5" x14ac:dyDescent="0.45">
      <c r="B52" s="2" t="s">
        <v>107</v>
      </c>
      <c r="C52" s="48">
        <f>1/(2*PI()*SQRT(C51*0.000000001*C49*0.000001))/1000</f>
        <v>22507.907903927651</v>
      </c>
      <c r="D52" s="16" t="s">
        <v>85</v>
      </c>
      <c r="H52" s="2" t="s">
        <v>211</v>
      </c>
      <c r="I52" s="62" t="s">
        <v>212</v>
      </c>
      <c r="J52" s="62" t="s">
        <v>220</v>
      </c>
      <c r="K52" s="62" t="s">
        <v>213</v>
      </c>
      <c r="L52" s="78" t="s">
        <v>223</v>
      </c>
      <c r="M52" s="78" t="s">
        <v>223</v>
      </c>
      <c r="N52" s="78" t="s">
        <v>222</v>
      </c>
      <c r="R52" s="49">
        <v>200000</v>
      </c>
      <c r="S52" s="6" cm="1">
        <f t="array" ref="S52">_xlfn.IFS(AND($C$34="Yes", $C$44="Yes"),1/((1/Y52)+(1/AD52)+(1/AI52)), AND($C$34="Yes", $C$44="No"), 1/((1/Y52)+(1/AD52)), AND($C$34="No", $C$44="Yes"), 1/((1/Y52)+(1/AI52)), AND($C$34="No", $C$44="No"), 1/(1/Y52))</f>
        <v>1.7705644081755911E-2</v>
      </c>
      <c r="T52" s="6">
        <f t="shared" si="11"/>
        <v>5.5624585477376753E-2</v>
      </c>
      <c r="V52" s="53">
        <f t="shared" si="13"/>
        <v>1.808578898771538E-2</v>
      </c>
      <c r="W52" s="54">
        <f t="shared" si="14"/>
        <v>4.0840704496667308E-4</v>
      </c>
      <c r="X52" s="55">
        <f t="shared" si="15"/>
        <v>1E-3</v>
      </c>
      <c r="Y52" s="56">
        <f t="shared" si="12"/>
        <v>1.7705644081755911E-2</v>
      </c>
      <c r="Z52" s="18"/>
      <c r="AA52" s="53">
        <f t="shared" si="16"/>
        <v>3.9788735772973833</v>
      </c>
      <c r="AB52" s="54">
        <f t="shared" si="17"/>
        <v>2.5132741228718348E-4</v>
      </c>
      <c r="AC52" s="56">
        <f t="shared" si="18"/>
        <v>6.0000000000000001E-3</v>
      </c>
      <c r="AD52" s="56">
        <f t="shared" si="19"/>
        <v>0</v>
      </c>
      <c r="AE52" s="15"/>
      <c r="AF52" s="53">
        <f t="shared" si="20"/>
        <v>7.9577471545947667</v>
      </c>
      <c r="AG52" s="54">
        <f t="shared" si="21"/>
        <v>6.2831853071795862E-4</v>
      </c>
      <c r="AH52" s="56">
        <f t="shared" si="22"/>
        <v>1E-4</v>
      </c>
      <c r="AI52" s="56">
        <f t="shared" si="23"/>
        <v>0</v>
      </c>
      <c r="AJ52" s="15"/>
    </row>
    <row r="53" spans="2:36" x14ac:dyDescent="0.35">
      <c r="H53" s="2" t="s">
        <v>63</v>
      </c>
      <c r="I53" s="62">
        <v>35</v>
      </c>
      <c r="J53" s="62">
        <v>75</v>
      </c>
      <c r="K53" s="62">
        <v>65</v>
      </c>
      <c r="L53" s="62">
        <v>10</v>
      </c>
      <c r="M53" s="62">
        <v>25</v>
      </c>
      <c r="N53" s="62">
        <v>12</v>
      </c>
      <c r="R53" s="49">
        <v>300000</v>
      </c>
      <c r="S53" s="6" cm="1">
        <f t="array" ref="S53">_xlfn.IFS(AND($C$34="Yes", $C$44="Yes"),1/((1/Y53)+(1/AD53)+(1/AI53)), AND($C$34="Yes", $C$44="No"), 1/((1/Y53)+(1/AD53)), AND($C$34="No", $C$44="Yes"), 1/((1/Y53)+(1/AI53)), AND($C$34="No", $C$44="No"), 1/(1/Y53))</f>
        <v>1.1488187813500174E-2</v>
      </c>
      <c r="T53" s="6">
        <f t="shared" si="11"/>
        <v>5.5624585477376753E-2</v>
      </c>
      <c r="V53" s="53">
        <f t="shared" si="13"/>
        <v>1.205719265847692E-2</v>
      </c>
      <c r="W53" s="54">
        <f t="shared" si="14"/>
        <v>6.126105674500097E-4</v>
      </c>
      <c r="X53" s="55">
        <f t="shared" si="15"/>
        <v>1E-3</v>
      </c>
      <c r="Y53" s="56">
        <f t="shared" si="12"/>
        <v>1.1488187813500174E-2</v>
      </c>
      <c r="Z53" s="18"/>
      <c r="AA53" s="53">
        <f t="shared" si="16"/>
        <v>2.6525823848649224</v>
      </c>
      <c r="AB53" s="54">
        <f t="shared" si="17"/>
        <v>3.7699111843077525E-4</v>
      </c>
      <c r="AC53" s="56">
        <f t="shared" si="18"/>
        <v>6.0000000000000001E-3</v>
      </c>
      <c r="AD53" s="56">
        <f t="shared" si="19"/>
        <v>0</v>
      </c>
      <c r="AE53" s="15"/>
      <c r="AF53" s="53">
        <f t="shared" si="20"/>
        <v>5.3051647697298447</v>
      </c>
      <c r="AG53" s="54">
        <f t="shared" si="21"/>
        <v>9.4247779607693804E-4</v>
      </c>
      <c r="AH53" s="56">
        <f t="shared" si="22"/>
        <v>1E-4</v>
      </c>
      <c r="AI53" s="56">
        <f t="shared" si="23"/>
        <v>0</v>
      </c>
      <c r="AJ53" s="15"/>
    </row>
    <row r="54" spans="2:36" x14ac:dyDescent="0.35">
      <c r="B54" s="2" t="s">
        <v>224</v>
      </c>
      <c r="C54" s="46" cm="1">
        <f t="array" ref="C54">_xlfn.IFS(AND(C34="Yes",C44="Yes"),C26+C39+C49,AND(C34="Yes",C44="No"),C26+C39,AND(C34="No",C44="Yes"),C26+C49,AND(C34="No",C44="No"),C26)</f>
        <v>44</v>
      </c>
      <c r="D54" s="16" t="s">
        <v>8</v>
      </c>
      <c r="H54" s="2" t="s">
        <v>80</v>
      </c>
      <c r="I54" s="63">
        <v>1.5</v>
      </c>
      <c r="J54" s="63">
        <v>1.5</v>
      </c>
      <c r="K54" s="63">
        <v>2.5</v>
      </c>
      <c r="L54" s="63"/>
      <c r="M54" s="63"/>
      <c r="N54" s="63">
        <v>0.4</v>
      </c>
      <c r="R54" s="49">
        <v>400000</v>
      </c>
      <c r="S54" s="6" cm="1">
        <f t="array" ref="S54">_xlfn.IFS(AND($C$34="Yes", $C$44="Yes"),1/((1/Y54)+(1/AD54)+(1/AI54)), AND($C$34="Yes", $C$44="No"), 1/((1/Y54)+(1/AD54)), AND($C$34="No", $C$44="Yes"), 1/((1/Y54)+(1/AI54)), AND($C$34="No", $C$44="No"), 1/(1/Y54))</f>
        <v>8.2866397780902781E-3</v>
      </c>
      <c r="T54" s="6">
        <f t="shared" si="11"/>
        <v>5.5624585477376753E-2</v>
      </c>
      <c r="V54" s="53">
        <f t="shared" si="13"/>
        <v>9.0428944938576901E-3</v>
      </c>
      <c r="W54" s="54">
        <f t="shared" si="14"/>
        <v>8.1681408993334616E-4</v>
      </c>
      <c r="X54" s="55">
        <f t="shared" si="15"/>
        <v>1E-3</v>
      </c>
      <c r="Y54" s="56">
        <f t="shared" si="12"/>
        <v>8.2866397780902781E-3</v>
      </c>
      <c r="Z54" s="18"/>
      <c r="AA54" s="53">
        <f t="shared" si="16"/>
        <v>1.9894367886486917</v>
      </c>
      <c r="AB54" s="54">
        <f t="shared" si="17"/>
        <v>5.0265482457436696E-4</v>
      </c>
      <c r="AC54" s="56">
        <f t="shared" si="18"/>
        <v>6.0000000000000001E-3</v>
      </c>
      <c r="AD54" s="56">
        <f t="shared" si="19"/>
        <v>0</v>
      </c>
      <c r="AE54" s="15"/>
      <c r="AF54" s="53">
        <f t="shared" si="20"/>
        <v>3.9788735772973833</v>
      </c>
      <c r="AG54" s="54">
        <f t="shared" si="21"/>
        <v>1.2566370614359172E-3</v>
      </c>
      <c r="AH54" s="56">
        <f t="shared" si="22"/>
        <v>1E-4</v>
      </c>
      <c r="AI54" s="56">
        <f t="shared" si="23"/>
        <v>0</v>
      </c>
      <c r="AJ54" s="15"/>
    </row>
    <row r="55" spans="2:36" x14ac:dyDescent="0.35">
      <c r="H55" s="2" t="s">
        <v>65</v>
      </c>
      <c r="I55" s="49">
        <v>16</v>
      </c>
      <c r="J55" s="49">
        <v>25</v>
      </c>
      <c r="K55" s="49">
        <v>25</v>
      </c>
      <c r="L55" s="49">
        <v>25</v>
      </c>
      <c r="M55" s="49">
        <v>25</v>
      </c>
      <c r="N55" s="49">
        <v>25</v>
      </c>
      <c r="R55" s="49">
        <v>500000</v>
      </c>
      <c r="S55" s="6" cm="1">
        <f t="array" ref="S55">_xlfn.IFS(AND($C$34="Yes", $C$44="Yes"),1/((1/Y55)+(1/AD55)+(1/AI55)), AND($C$34="Yes", $C$44="No"), 1/((1/Y55)+(1/AD55)), AND($C$34="No", $C$44="Yes"), 1/((1/Y55)+(1/AI55)), AND($C$34="No", $C$44="No"), 1/(1/Y55))</f>
        <v>6.2932560587858257E-3</v>
      </c>
      <c r="T55" s="6">
        <f t="shared" si="11"/>
        <v>5.5624585477376753E-2</v>
      </c>
      <c r="V55" s="53">
        <f t="shared" si="13"/>
        <v>7.2343155950861529E-3</v>
      </c>
      <c r="W55" s="54">
        <f t="shared" si="14"/>
        <v>1.0210176124166828E-3</v>
      </c>
      <c r="X55" s="55">
        <f t="shared" si="15"/>
        <v>1E-3</v>
      </c>
      <c r="Y55" s="56">
        <f t="shared" si="12"/>
        <v>6.2932560587858257E-3</v>
      </c>
      <c r="Z55" s="18"/>
      <c r="AA55" s="53">
        <f t="shared" si="16"/>
        <v>1.5915494309189537</v>
      </c>
      <c r="AB55" s="54">
        <f t="shared" si="17"/>
        <v>6.2831853071795873E-4</v>
      </c>
      <c r="AC55" s="56">
        <f t="shared" si="18"/>
        <v>6.0000000000000001E-3</v>
      </c>
      <c r="AD55" s="56">
        <f t="shared" si="19"/>
        <v>0</v>
      </c>
      <c r="AE55" s="15"/>
      <c r="AF55" s="53">
        <f t="shared" si="20"/>
        <v>3.1830988618379075</v>
      </c>
      <c r="AG55" s="54">
        <f t="shared" si="21"/>
        <v>1.5707963267948967E-3</v>
      </c>
      <c r="AH55" s="56">
        <f t="shared" si="22"/>
        <v>1E-4</v>
      </c>
      <c r="AI55" s="56">
        <f t="shared" si="23"/>
        <v>0</v>
      </c>
      <c r="AJ55" s="15"/>
    </row>
    <row r="56" spans="2:36" x14ac:dyDescent="0.35">
      <c r="H56" s="2" t="s">
        <v>70</v>
      </c>
      <c r="I56" s="64"/>
      <c r="J56" s="64"/>
      <c r="K56" s="65">
        <v>0.11899999999999999</v>
      </c>
      <c r="L56" s="65"/>
      <c r="M56" s="65"/>
      <c r="N56" s="65"/>
      <c r="R56" s="49">
        <v>600000</v>
      </c>
      <c r="S56" s="6" cm="1">
        <f t="array" ref="S56">_xlfn.IFS(AND($C$34="Yes", $C$44="Yes"),1/((1/Y56)+(1/AD56)+(1/AI56)), AND($C$34="Yes", $C$44="No"), 1/((1/Y56)+(1/AD56)), AND($C$34="No", $C$44="Yes"), 1/((1/Y56)+(1/AI56)), AND($C$34="No", $C$44="No"), 1/(1/Y56))</f>
        <v>4.906364566314437E-3</v>
      </c>
      <c r="T56" s="6">
        <f t="shared" si="11"/>
        <v>5.5624585477376753E-2</v>
      </c>
      <c r="V56" s="53">
        <f t="shared" ref="V56:V58" si="24">1/(2*PI()*$R56*$C$25*$C$22*0.000001)</f>
        <v>6.0285963292384601E-3</v>
      </c>
      <c r="W56" s="54">
        <f t="shared" ref="W56:W58" si="25">2*PI()*$R56*((0.000000001*$C$24)/$C$25)</f>
        <v>1.2252211349000194E-3</v>
      </c>
      <c r="X56" s="55">
        <f t="shared" si="15"/>
        <v>1E-3</v>
      </c>
      <c r="Y56" s="56">
        <f t="shared" si="12"/>
        <v>4.906364566314437E-3</v>
      </c>
      <c r="Z56" s="18"/>
      <c r="AA56" s="53">
        <f t="shared" ref="AA56:AA58" si="26">1/(2*PI()*$R56*$C$38*$C$35*0.000001)</f>
        <v>1.3262911924324612</v>
      </c>
      <c r="AB56" s="54">
        <f t="shared" ref="AB56:AB58" si="27">2*PI()*$R56*((0.000000001*$C$37)/$C$38)</f>
        <v>7.5398223686155049E-4</v>
      </c>
      <c r="AC56" s="56">
        <f t="shared" ref="AC56:AC58" si="28">(0.001*$C$36)/$C$38</f>
        <v>6.0000000000000001E-3</v>
      </c>
      <c r="AD56" s="56">
        <f t="shared" ref="AD56:AD58" si="29">IF($C$34="Yes", SQRT(AC56^(2)+ABS(AA56-AB56)^(2)), 0)</f>
        <v>0</v>
      </c>
      <c r="AE56" s="15"/>
      <c r="AF56" s="53">
        <f t="shared" ref="AF56:AF58" si="30">1/(2*PI()*$R56*$C$48*$C$45*0.000001)</f>
        <v>2.6525823848649224</v>
      </c>
      <c r="AG56" s="54">
        <f t="shared" ref="AG56:AG58" si="31">2*PI()*$R56*((0.000000001*$C$47)/$C$48)</f>
        <v>1.8849555921538761E-3</v>
      </c>
      <c r="AH56" s="56">
        <f t="shared" ref="AH56:AH58" si="32">(0.001*$C$46)/$C$48</f>
        <v>1E-4</v>
      </c>
      <c r="AI56" s="56">
        <f t="shared" ref="AI56:AI58" si="33">IF($C$44="Yes", SQRT(AH56^(2)+ABS(AF56-AG56)^(2)), 0)</f>
        <v>0</v>
      </c>
      <c r="AJ56" s="15"/>
    </row>
    <row r="57" spans="2:36" x14ac:dyDescent="0.35">
      <c r="H57" s="2" t="s">
        <v>66</v>
      </c>
      <c r="I57" s="65">
        <f>2.535*0.7</f>
        <v>1.7745</v>
      </c>
      <c r="J57" s="65">
        <f>1.732*0.7</f>
        <v>1.2123999999999999</v>
      </c>
      <c r="K57" s="65">
        <v>1.8340000000000001</v>
      </c>
      <c r="L57" s="65"/>
      <c r="M57" s="65"/>
      <c r="N57" s="65" t="s">
        <v>217</v>
      </c>
      <c r="R57" s="49">
        <v>700000</v>
      </c>
      <c r="S57" s="6" cm="1">
        <f t="array" ref="S57">_xlfn.IFS(AND($C$34="Yes", $C$44="Yes"),1/((1/Y57)+(1/AD57)+(1/AI57)), AND($C$34="Yes", $C$44="No"), 1/((1/Y57)+(1/AD57)), AND($C$34="No", $C$44="Yes"), 1/((1/Y57)+(1/AI57)), AND($C$34="No", $C$44="No"), 1/(1/Y57))</f>
        <v>3.8693956301133446E-3</v>
      </c>
      <c r="T57" s="6">
        <f t="shared" si="11"/>
        <v>5.5624585477376753E-2</v>
      </c>
      <c r="V57" s="53">
        <f t="shared" si="24"/>
        <v>5.1673682822043947E-3</v>
      </c>
      <c r="W57" s="54">
        <f t="shared" si="25"/>
        <v>1.4294246573833558E-3</v>
      </c>
      <c r="X57" s="55">
        <f t="shared" si="15"/>
        <v>1E-3</v>
      </c>
      <c r="Y57" s="56">
        <f t="shared" si="12"/>
        <v>3.869395630113345E-3</v>
      </c>
      <c r="Z57" s="18"/>
      <c r="AA57" s="53">
        <f t="shared" si="26"/>
        <v>1.1368210220849668</v>
      </c>
      <c r="AB57" s="54">
        <f t="shared" si="27"/>
        <v>8.7964594300514215E-4</v>
      </c>
      <c r="AC57" s="56">
        <f t="shared" si="28"/>
        <v>6.0000000000000001E-3</v>
      </c>
      <c r="AD57" s="56">
        <f t="shared" si="29"/>
        <v>0</v>
      </c>
      <c r="AE57" s="15"/>
      <c r="AF57" s="53">
        <f t="shared" si="30"/>
        <v>2.2736420441699337</v>
      </c>
      <c r="AG57" s="54">
        <f t="shared" si="31"/>
        <v>2.1991148575128553E-3</v>
      </c>
      <c r="AH57" s="56">
        <f t="shared" si="32"/>
        <v>1E-4</v>
      </c>
      <c r="AI57" s="56">
        <f t="shared" si="33"/>
        <v>0</v>
      </c>
      <c r="AJ57" s="15"/>
    </row>
    <row r="58" spans="2:36" x14ac:dyDescent="0.35">
      <c r="H58" s="2" t="s">
        <v>67</v>
      </c>
      <c r="I58" s="50" t="s">
        <v>162</v>
      </c>
      <c r="J58" s="50" t="s">
        <v>221</v>
      </c>
      <c r="K58" s="50" t="s">
        <v>68</v>
      </c>
      <c r="L58" s="50"/>
      <c r="M58" s="50"/>
      <c r="N58" s="50"/>
      <c r="R58" s="49">
        <v>800000</v>
      </c>
      <c r="S58" s="6" cm="1">
        <f t="array" ref="S58">_xlfn.IFS(AND($C$34="Yes", $C$44="Yes"),1/((1/Y58)+(1/AD58)+(1/AI58)), AND($C$34="Yes", $C$44="No"), 1/((1/Y58)+(1/AD58)), AND($C$34="No", $C$44="Yes"), 1/((1/Y58)+(1/AI58)), AND($C$34="No", $C$44="No"), 1/(1/Y58))</f>
        <v>3.0560593849085658E-3</v>
      </c>
      <c r="T58" s="6">
        <f t="shared" si="11"/>
        <v>5.5624585477376753E-2</v>
      </c>
      <c r="V58" s="53">
        <f t="shared" si="24"/>
        <v>4.521447246928845E-3</v>
      </c>
      <c r="W58" s="54">
        <f t="shared" si="25"/>
        <v>1.6336281798666923E-3</v>
      </c>
      <c r="X58" s="55">
        <f t="shared" si="15"/>
        <v>1E-3</v>
      </c>
      <c r="Y58" s="56">
        <f t="shared" si="12"/>
        <v>3.0560593849085658E-3</v>
      </c>
      <c r="Z58" s="18"/>
      <c r="AA58" s="53">
        <f t="shared" si="26"/>
        <v>0.99471839432434583</v>
      </c>
      <c r="AB58" s="54">
        <f t="shared" si="27"/>
        <v>1.0053096491487339E-3</v>
      </c>
      <c r="AC58" s="56">
        <f t="shared" si="28"/>
        <v>6.0000000000000001E-3</v>
      </c>
      <c r="AD58" s="56">
        <f t="shared" si="29"/>
        <v>0</v>
      </c>
      <c r="AE58" s="15"/>
      <c r="AF58" s="53">
        <f t="shared" si="30"/>
        <v>1.9894367886486917</v>
      </c>
      <c r="AG58" s="54">
        <f t="shared" si="31"/>
        <v>2.5132741228718345E-3</v>
      </c>
      <c r="AH58" s="56">
        <f t="shared" si="32"/>
        <v>1E-4</v>
      </c>
      <c r="AI58" s="56">
        <f t="shared" si="33"/>
        <v>0</v>
      </c>
      <c r="AJ58" s="15"/>
    </row>
    <row r="59" spans="2:36" x14ac:dyDescent="0.35">
      <c r="I59" s="20"/>
      <c r="R59" s="49">
        <v>900000</v>
      </c>
      <c r="S59" s="6" cm="1">
        <f t="array" ref="S59">_xlfn.IFS(AND($C$34="Yes", $C$44="Yes"),1/((1/Y59)+(1/AD59)+(1/AI59)), AND($C$34="Yes", $C$44="No"), 1/((1/Y59)+(1/AD59)), AND($C$34="No", $C$44="Yes"), 1/((1/Y59)+(1/AI59)), AND($C$34="No", $C$44="No"), 1/(1/Y59))</f>
        <v>2.3995364747881704E-3</v>
      </c>
      <c r="T59" s="6">
        <f t="shared" si="11"/>
        <v>5.5624585477376753E-2</v>
      </c>
      <c r="V59" s="53">
        <f t="shared" ref="V59:V87" si="34">1/(2*PI()*$R59*$C$25*$C$22*0.000001)</f>
        <v>4.0190642194923073E-3</v>
      </c>
      <c r="W59" s="54">
        <f t="shared" ref="W59:W87" si="35">2*PI()*$R59*((0.000000001*$C$24)/$C$25)</f>
        <v>1.8378317023500289E-3</v>
      </c>
      <c r="X59" s="55">
        <f t="shared" si="15"/>
        <v>1E-3</v>
      </c>
      <c r="Y59" s="56">
        <f t="shared" si="12"/>
        <v>2.3995364747881704E-3</v>
      </c>
      <c r="Z59" s="18"/>
      <c r="AA59" s="53">
        <f t="shared" ref="AA59:AA87" si="36">1/(2*PI()*$R59*$C$38*$C$35*0.000001)</f>
        <v>0.88419412828830746</v>
      </c>
      <c r="AB59" s="54">
        <f t="shared" ref="AB59:AB87" si="37">2*PI()*$R59*((0.000000001*$C$37)/$C$38)</f>
        <v>1.1309733552923257E-3</v>
      </c>
      <c r="AC59" s="56">
        <f t="shared" ref="AC59:AC87" si="38">(0.001*$C$36)/$C$38</f>
        <v>6.0000000000000001E-3</v>
      </c>
      <c r="AD59" s="56">
        <f t="shared" ref="AD59:AD87" si="39">IF($C$34="Yes", SQRT(AC59^(2)+ABS(AA59-AB59)^(2)), 0)</f>
        <v>0</v>
      </c>
      <c r="AE59" s="15"/>
      <c r="AF59" s="53">
        <f t="shared" ref="AF59:AF87" si="40">1/(2*PI()*$R59*$C$48*$C$45*0.000001)</f>
        <v>1.7683882565766149</v>
      </c>
      <c r="AG59" s="54">
        <f t="shared" ref="AG59:AG87" si="41">2*PI()*$R59*((0.000000001*$C$47)/$C$48)</f>
        <v>2.8274333882308137E-3</v>
      </c>
      <c r="AH59" s="56">
        <f t="shared" ref="AH59:AH87" si="42">(0.001*$C$46)/$C$48</f>
        <v>1E-4</v>
      </c>
      <c r="AI59" s="56">
        <f t="shared" ref="AI59:AI71" si="43">IF($C$44="Yes", SQRT(AH59^(2)+ABS(AF59-AG59)^(2)), 0)</f>
        <v>0</v>
      </c>
      <c r="AJ59" s="15"/>
    </row>
    <row r="60" spans="2:36" x14ac:dyDescent="0.35">
      <c r="I60" s="20"/>
      <c r="R60" s="49">
        <v>1000000</v>
      </c>
      <c r="S60" s="6" cm="1">
        <f t="array" ref="S60">_xlfn.IFS(AND($C$34="Yes", $C$44="Yes"),1/((1/Y60)+(1/AD60)+(1/AI60)), AND($C$34="Yes", $C$44="No"), 1/((1/Y60)+(1/AD60)), AND($C$34="No", $C$44="Yes"), 1/((1/Y60)+(1/AI60)), AND($C$34="No", $C$44="No"), 1/(1/Y60))</f>
        <v>1.8657467992896724E-3</v>
      </c>
      <c r="T60" s="6">
        <f t="shared" si="11"/>
        <v>5.5624585477376753E-2</v>
      </c>
      <c r="V60" s="53">
        <f t="shared" si="34"/>
        <v>3.6171577975430765E-3</v>
      </c>
      <c r="W60" s="54">
        <f t="shared" si="35"/>
        <v>2.0420352248333657E-3</v>
      </c>
      <c r="X60" s="55">
        <f t="shared" si="15"/>
        <v>1E-3</v>
      </c>
      <c r="Y60" s="56">
        <f t="shared" si="12"/>
        <v>1.8657467992896726E-3</v>
      </c>
      <c r="Z60" s="18"/>
      <c r="AA60" s="53">
        <f t="shared" si="36"/>
        <v>0.79577471545947687</v>
      </c>
      <c r="AB60" s="54">
        <f t="shared" si="37"/>
        <v>1.2566370614359175E-3</v>
      </c>
      <c r="AC60" s="56">
        <f t="shared" si="38"/>
        <v>6.0000000000000001E-3</v>
      </c>
      <c r="AD60" s="56">
        <f t="shared" si="39"/>
        <v>0</v>
      </c>
      <c r="AE60" s="15"/>
      <c r="AF60" s="53">
        <f t="shared" si="40"/>
        <v>1.5915494309189537</v>
      </c>
      <c r="AG60" s="54">
        <f t="shared" si="41"/>
        <v>3.1415926535897933E-3</v>
      </c>
      <c r="AH60" s="56">
        <f t="shared" si="42"/>
        <v>1E-4</v>
      </c>
      <c r="AI60" s="56">
        <f t="shared" si="43"/>
        <v>0</v>
      </c>
      <c r="AJ60" s="15"/>
    </row>
    <row r="61" spans="2:36" x14ac:dyDescent="0.35">
      <c r="E61" s="20"/>
      <c r="F61" s="20"/>
      <c r="I61" s="20"/>
      <c r="R61" s="49">
        <v>2000000</v>
      </c>
      <c r="S61" s="6" cm="1">
        <f t="array" ref="S61">_xlfn.IFS(AND($C$34="Yes", $C$44="Yes"),1/((1/Y61)+(1/AD61)+(1/AI61)), AND($C$34="Yes", $C$44="No"), 1/((1/Y61)+(1/AD61)), AND($C$34="No", $C$44="Yes"), 1/((1/Y61)+(1/AI61)), AND($C$34="No", $C$44="No"), 1/(1/Y61))</f>
        <v>2.4855304862735866E-3</v>
      </c>
      <c r="T61" s="6">
        <f t="shared" si="11"/>
        <v>5.5624585477376753E-2</v>
      </c>
      <c r="V61" s="53">
        <f t="shared" si="34"/>
        <v>1.8085788987715382E-3</v>
      </c>
      <c r="W61" s="54">
        <f t="shared" si="35"/>
        <v>4.0840704496667313E-3</v>
      </c>
      <c r="X61" s="55">
        <f t="shared" si="15"/>
        <v>1E-3</v>
      </c>
      <c r="Y61" s="56">
        <f t="shared" si="12"/>
        <v>2.4855304862735866E-3</v>
      </c>
      <c r="Z61" s="18"/>
      <c r="AA61" s="53">
        <f t="shared" si="36"/>
        <v>0.39788735772973843</v>
      </c>
      <c r="AB61" s="54">
        <f t="shared" si="37"/>
        <v>2.5132741228718349E-3</v>
      </c>
      <c r="AC61" s="56">
        <f t="shared" si="38"/>
        <v>6.0000000000000001E-3</v>
      </c>
      <c r="AD61" s="56">
        <f t="shared" si="39"/>
        <v>0</v>
      </c>
      <c r="AE61" s="15"/>
      <c r="AF61" s="53">
        <f t="shared" si="40"/>
        <v>0.79577471545947687</v>
      </c>
      <c r="AG61" s="54">
        <f t="shared" si="41"/>
        <v>6.2831853071795866E-3</v>
      </c>
      <c r="AH61" s="56">
        <f t="shared" si="42"/>
        <v>1E-4</v>
      </c>
      <c r="AI61" s="56">
        <f t="shared" si="43"/>
        <v>0</v>
      </c>
      <c r="AJ61" s="15"/>
    </row>
    <row r="62" spans="2:36" x14ac:dyDescent="0.35">
      <c r="I62" s="20"/>
      <c r="R62" s="49">
        <v>3000000</v>
      </c>
      <c r="S62" s="6" cm="1">
        <f t="array" ref="S62">_xlfn.IFS(AND($C$34="Yes", $C$44="Yes"),1/((1/Y62)+(1/AD62)+(1/AI62)), AND($C$34="Yes", $C$44="No"), 1/((1/Y62)+(1/AD62)), AND($C$34="No", $C$44="Yes"), 1/((1/Y62)+(1/AI62)), AND($C$34="No", $C$44="No"), 1/(1/Y62))</f>
        <v>5.0209762407774161E-3</v>
      </c>
      <c r="T62" s="6">
        <f t="shared" si="11"/>
        <v>5.5624585477376753E-2</v>
      </c>
      <c r="V62" s="53">
        <f t="shared" si="34"/>
        <v>1.205719265847692E-3</v>
      </c>
      <c r="W62" s="54">
        <f t="shared" si="35"/>
        <v>6.126105674500097E-3</v>
      </c>
      <c r="X62" s="55">
        <f t="shared" si="15"/>
        <v>1E-3</v>
      </c>
      <c r="Y62" s="56">
        <f t="shared" si="12"/>
        <v>5.0209762407774161E-3</v>
      </c>
      <c r="Z62" s="18"/>
      <c r="AA62" s="53">
        <f t="shared" si="36"/>
        <v>0.26525823848649221</v>
      </c>
      <c r="AB62" s="54">
        <f t="shared" si="37"/>
        <v>3.7699111843077526E-3</v>
      </c>
      <c r="AC62" s="56">
        <f t="shared" si="38"/>
        <v>6.0000000000000001E-3</v>
      </c>
      <c r="AD62" s="56">
        <f t="shared" si="39"/>
        <v>0</v>
      </c>
      <c r="AE62" s="15"/>
      <c r="AF62" s="53">
        <f t="shared" si="40"/>
        <v>0.53051647697298443</v>
      </c>
      <c r="AG62" s="54">
        <f t="shared" si="41"/>
        <v>9.4247779607693795E-3</v>
      </c>
      <c r="AH62" s="56">
        <f t="shared" si="42"/>
        <v>1E-4</v>
      </c>
      <c r="AI62" s="56">
        <f t="shared" si="43"/>
        <v>0</v>
      </c>
      <c r="AJ62" s="15"/>
    </row>
    <row r="63" spans="2:36" x14ac:dyDescent="0.35">
      <c r="R63" s="49">
        <v>4000000</v>
      </c>
      <c r="S63" s="6" cm="1">
        <f t="array" ref="S63">_xlfn.IFS(AND($C$34="Yes", $C$44="Yes"),1/((1/Y63)+(1/AD63)+(1/AI63)), AND($C$34="Yes", $C$44="No"), 1/((1/Y63)+(1/AD63)), AND($C$34="No", $C$44="Yes"), 1/((1/Y63)+(1/AI63)), AND($C$34="No", $C$44="No"), 1/(1/Y63))</f>
        <v>7.3323623674029642E-3</v>
      </c>
      <c r="T63" s="6">
        <f t="shared" si="11"/>
        <v>5.5624585477376753E-2</v>
      </c>
      <c r="V63" s="53">
        <f t="shared" si="34"/>
        <v>9.0428944938576912E-4</v>
      </c>
      <c r="W63" s="54">
        <f t="shared" si="35"/>
        <v>8.1681408993334627E-3</v>
      </c>
      <c r="X63" s="55">
        <f t="shared" si="15"/>
        <v>1E-3</v>
      </c>
      <c r="Y63" s="56">
        <f t="shared" si="12"/>
        <v>7.3323623674029651E-3</v>
      </c>
      <c r="Z63" s="18"/>
      <c r="AA63" s="53">
        <f t="shared" si="36"/>
        <v>0.19894367886486922</v>
      </c>
      <c r="AB63" s="54">
        <f t="shared" si="37"/>
        <v>5.0265482457436698E-3</v>
      </c>
      <c r="AC63" s="56">
        <f t="shared" si="38"/>
        <v>6.0000000000000001E-3</v>
      </c>
      <c r="AD63" s="56">
        <f t="shared" si="39"/>
        <v>0</v>
      </c>
      <c r="AE63" s="15"/>
      <c r="AF63" s="53">
        <f t="shared" si="40"/>
        <v>0.39788735772973843</v>
      </c>
      <c r="AG63" s="54">
        <f t="shared" si="41"/>
        <v>1.2566370614359173E-2</v>
      </c>
      <c r="AH63" s="56">
        <f t="shared" si="42"/>
        <v>1E-4</v>
      </c>
      <c r="AI63" s="56">
        <f t="shared" si="43"/>
        <v>0</v>
      </c>
      <c r="AJ63" s="15"/>
    </row>
    <row r="64" spans="2:36" x14ac:dyDescent="0.35">
      <c r="R64" s="49">
        <v>5000000</v>
      </c>
      <c r="S64" s="6" cm="1">
        <f t="array" ref="S64">_xlfn.IFS(AND($C$34="Yes", $C$44="Yes"),1/((1/Y64)+(1/AD64)+(1/AI64)), AND($C$34="Yes", $C$44="No"), 1/((1/Y64)+(1/AD64)), AND($C$34="No", $C$44="Yes"), 1/((1/Y64)+(1/AI64)), AND($C$34="No", $C$44="No"), 1/(1/Y64))</f>
        <v>9.5393040854703948E-3</v>
      </c>
      <c r="T64" s="6">
        <f t="shared" si="11"/>
        <v>5.5624585477376753E-2</v>
      </c>
      <c r="V64" s="53">
        <f t="shared" si="34"/>
        <v>7.2343155950861519E-4</v>
      </c>
      <c r="W64" s="54">
        <f t="shared" si="35"/>
        <v>1.0210176124166829E-2</v>
      </c>
      <c r="X64" s="55">
        <f t="shared" si="15"/>
        <v>1E-3</v>
      </c>
      <c r="Y64" s="56">
        <f t="shared" si="12"/>
        <v>9.5393040854703948E-3</v>
      </c>
      <c r="Z64" s="18"/>
      <c r="AA64" s="53">
        <f t="shared" si="36"/>
        <v>0.15915494309189532</v>
      </c>
      <c r="AB64" s="54">
        <f t="shared" si="37"/>
        <v>6.2831853071795875E-3</v>
      </c>
      <c r="AC64" s="56">
        <f t="shared" si="38"/>
        <v>6.0000000000000001E-3</v>
      </c>
      <c r="AD64" s="56">
        <f t="shared" si="39"/>
        <v>0</v>
      </c>
      <c r="AE64" s="15"/>
      <c r="AF64" s="53">
        <f t="shared" si="40"/>
        <v>0.31830988618379064</v>
      </c>
      <c r="AG64" s="54">
        <f t="shared" si="41"/>
        <v>1.5707963267948967E-2</v>
      </c>
      <c r="AH64" s="56">
        <f t="shared" si="42"/>
        <v>1E-4</v>
      </c>
      <c r="AI64" s="56">
        <f t="shared" si="43"/>
        <v>0</v>
      </c>
      <c r="AJ64" s="15"/>
    </row>
    <row r="65" spans="9:36" x14ac:dyDescent="0.35">
      <c r="I65" s="20"/>
      <c r="R65" s="49">
        <v>6000000</v>
      </c>
      <c r="S65" s="6" cm="1">
        <f t="array" ref="S65">_xlfn.IFS(AND($C$34="Yes", $C$44="Yes"),1/((1/Y65)+(1/AD65)+(1/AI65)), AND($C$34="Yes", $C$44="No"), 1/((1/Y65)+(1/AD65)), AND($C$34="No", $C$44="Yes"), 1/((1/Y65)+(1/AI65)), AND($C$34="No", $C$44="No"), 1/(1/Y65))</f>
        <v>1.169219378067482E-2</v>
      </c>
      <c r="T65" s="6">
        <f t="shared" si="11"/>
        <v>5.5624585477376753E-2</v>
      </c>
      <c r="V65" s="53">
        <f t="shared" si="34"/>
        <v>6.0285963292384601E-4</v>
      </c>
      <c r="W65" s="54">
        <f t="shared" si="35"/>
        <v>1.2252211349000194E-2</v>
      </c>
      <c r="X65" s="55">
        <f t="shared" si="15"/>
        <v>1E-3</v>
      </c>
      <c r="Y65" s="56">
        <f t="shared" si="12"/>
        <v>1.169219378067482E-2</v>
      </c>
      <c r="Z65" s="18"/>
      <c r="AA65" s="53">
        <f t="shared" si="36"/>
        <v>0.13262911924324611</v>
      </c>
      <c r="AB65" s="54">
        <f t="shared" si="37"/>
        <v>7.5398223686155052E-3</v>
      </c>
      <c r="AC65" s="56">
        <f t="shared" si="38"/>
        <v>6.0000000000000001E-3</v>
      </c>
      <c r="AD65" s="56">
        <f t="shared" si="39"/>
        <v>0</v>
      </c>
      <c r="AE65" s="15"/>
      <c r="AF65" s="53">
        <f t="shared" si="40"/>
        <v>0.26525823848649221</v>
      </c>
      <c r="AG65" s="54">
        <f t="shared" si="41"/>
        <v>1.8849555921538759E-2</v>
      </c>
      <c r="AH65" s="56">
        <f t="shared" si="42"/>
        <v>1E-4</v>
      </c>
      <c r="AI65" s="56">
        <f t="shared" si="43"/>
        <v>0</v>
      </c>
      <c r="AJ65" s="15"/>
    </row>
    <row r="66" spans="9:36" x14ac:dyDescent="0.35">
      <c r="I66" s="20"/>
      <c r="R66" s="49">
        <v>7000000</v>
      </c>
      <c r="S66" s="6" cm="1">
        <f t="array" ref="S66">_xlfn.IFS(AND($C$34="Yes", $C$44="Yes"),1/((1/Y66)+(1/AD66)+(1/AI66)), AND($C$34="Yes", $C$44="No"), 1/((1/Y66)+(1/AD66)), AND($C$34="No", $C$44="Yes"), 1/((1/Y66)+(1/AI66)), AND($C$34="No", $C$44="No"), 1/(1/Y66))</f>
        <v>1.381375310299357E-2</v>
      </c>
      <c r="T66" s="6">
        <f t="shared" si="11"/>
        <v>5.5624585477376753E-2</v>
      </c>
      <c r="V66" s="53">
        <f t="shared" si="34"/>
        <v>5.1673682822043945E-4</v>
      </c>
      <c r="W66" s="54">
        <f t="shared" si="35"/>
        <v>1.4294246573833559E-2</v>
      </c>
      <c r="X66" s="55">
        <f t="shared" si="15"/>
        <v>1E-3</v>
      </c>
      <c r="Y66" s="56">
        <f t="shared" si="12"/>
        <v>1.3813753102993572E-2</v>
      </c>
      <c r="Z66" s="18"/>
      <c r="AA66" s="53">
        <f t="shared" si="36"/>
        <v>0.11368210220849667</v>
      </c>
      <c r="AB66" s="54">
        <f t="shared" si="37"/>
        <v>8.7964594300514228E-3</v>
      </c>
      <c r="AC66" s="56">
        <f t="shared" si="38"/>
        <v>6.0000000000000001E-3</v>
      </c>
      <c r="AD66" s="56">
        <f t="shared" si="39"/>
        <v>0</v>
      </c>
      <c r="AE66" s="15"/>
      <c r="AF66" s="53">
        <f t="shared" si="40"/>
        <v>0.22736420441699334</v>
      </c>
      <c r="AG66" s="54">
        <f t="shared" si="41"/>
        <v>2.1991148575128554E-2</v>
      </c>
      <c r="AH66" s="56">
        <f t="shared" si="42"/>
        <v>1E-4</v>
      </c>
      <c r="AI66" s="56">
        <f t="shared" si="43"/>
        <v>0</v>
      </c>
      <c r="AJ66" s="15"/>
    </row>
    <row r="67" spans="9:36" x14ac:dyDescent="0.35">
      <c r="I67" s="20"/>
      <c r="R67" s="49">
        <v>8000000</v>
      </c>
      <c r="S67" s="6" cm="1">
        <f t="array" ref="S67">_xlfn.IFS(AND($C$34="Yes", $C$44="Yes"),1/((1/Y67)+(1/AD67)+(1/AI67)), AND($C$34="Yes", $C$44="No"), 1/((1/Y67)+(1/AD67)), AND($C$34="No", $C$44="Yes"), 1/((1/Y67)+(1/AI67)), AND($C$34="No", $C$44="No"), 1/(1/Y67))</f>
        <v>1.5915583890790706E-2</v>
      </c>
      <c r="T67" s="6">
        <f t="shared" si="11"/>
        <v>5.5624585477376753E-2</v>
      </c>
      <c r="V67" s="53">
        <f t="shared" si="34"/>
        <v>4.5214472469288456E-4</v>
      </c>
      <c r="W67" s="54">
        <f t="shared" si="35"/>
        <v>1.6336281798666925E-2</v>
      </c>
      <c r="X67" s="55">
        <f t="shared" si="15"/>
        <v>1E-3</v>
      </c>
      <c r="Y67" s="56">
        <f t="shared" si="12"/>
        <v>1.5915583890790706E-2</v>
      </c>
      <c r="Z67" s="18"/>
      <c r="AA67" s="53">
        <f t="shared" si="36"/>
        <v>9.9471839432434608E-2</v>
      </c>
      <c r="AB67" s="54">
        <f t="shared" si="37"/>
        <v>1.005309649148734E-2</v>
      </c>
      <c r="AC67" s="56">
        <f t="shared" si="38"/>
        <v>6.0000000000000001E-3</v>
      </c>
      <c r="AD67" s="56">
        <f t="shared" si="39"/>
        <v>0</v>
      </c>
      <c r="AE67" s="15"/>
      <c r="AF67" s="53">
        <f t="shared" si="40"/>
        <v>0.19894367886486922</v>
      </c>
      <c r="AG67" s="54">
        <f t="shared" si="41"/>
        <v>2.5132741228718346E-2</v>
      </c>
      <c r="AH67" s="56">
        <f t="shared" si="42"/>
        <v>1E-4</v>
      </c>
      <c r="AI67" s="56">
        <f t="shared" si="43"/>
        <v>0</v>
      </c>
      <c r="AJ67" s="15"/>
    </row>
    <row r="68" spans="9:36" x14ac:dyDescent="0.35">
      <c r="I68" s="20"/>
      <c r="R68" s="49">
        <v>9000000</v>
      </c>
      <c r="S68" s="6" cm="1">
        <f t="array" ref="S68">_xlfn.IFS(AND($C$34="Yes", $C$44="Yes"),1/((1/Y68)+(1/AD68)+(1/AI68)), AND($C$34="Yes", $C$44="No"), 1/((1/Y68)+(1/AD68)), AND($C$34="No", $C$44="Yes"), 1/((1/Y68)+(1/AI68)), AND($C$34="No", $C$44="No"), 1/(1/Y68))</f>
        <v>1.8004203345762273E-2</v>
      </c>
      <c r="T68" s="6">
        <f t="shared" si="11"/>
        <v>5.5624585477376753E-2</v>
      </c>
      <c r="V68" s="53">
        <f t="shared" si="34"/>
        <v>4.0190642194923071E-4</v>
      </c>
      <c r="W68" s="54">
        <f t="shared" si="35"/>
        <v>1.837831702350029E-2</v>
      </c>
      <c r="X68" s="55">
        <f t="shared" si="15"/>
        <v>1E-3</v>
      </c>
      <c r="Y68" s="56">
        <f t="shared" si="12"/>
        <v>1.8004203345762273E-2</v>
      </c>
      <c r="Z68" s="18"/>
      <c r="AA68" s="53">
        <f t="shared" si="36"/>
        <v>8.8419412828830757E-2</v>
      </c>
      <c r="AB68" s="54">
        <f t="shared" si="37"/>
        <v>1.1309733552923256E-2</v>
      </c>
      <c r="AC68" s="56">
        <f t="shared" si="38"/>
        <v>6.0000000000000001E-3</v>
      </c>
      <c r="AD68" s="56">
        <f t="shared" si="39"/>
        <v>0</v>
      </c>
      <c r="AE68" s="15"/>
      <c r="AF68" s="53">
        <f t="shared" si="40"/>
        <v>0.17683882565766151</v>
      </c>
      <c r="AG68" s="54">
        <f t="shared" si="41"/>
        <v>2.8274333882308138E-2</v>
      </c>
      <c r="AH68" s="56">
        <f t="shared" si="42"/>
        <v>1E-4</v>
      </c>
      <c r="AI68" s="56">
        <f t="shared" si="43"/>
        <v>0</v>
      </c>
      <c r="AJ68" s="15"/>
    </row>
    <row r="69" spans="9:36" x14ac:dyDescent="0.35">
      <c r="I69" s="20"/>
      <c r="R69" s="49">
        <v>10000000</v>
      </c>
      <c r="S69" s="6" cm="1">
        <f t="array" ref="S69">_xlfn.IFS(AND($C$34="Yes", $C$44="Yes"),1/((1/Y69)+(1/AD69)+(1/AI69)), AND($C$34="Yes", $C$44="No"), 1/((1/Y69)+(1/AD69)), AND($C$34="No", $C$44="Yes"), 1/((1/Y69)+(1/AI69)), AND($C$34="No", $C$44="No"), 1/(1/Y69))</f>
        <v>2.0083547918100065E-2</v>
      </c>
      <c r="T69" s="6">
        <f t="shared" si="11"/>
        <v>5.5624585477376753E-2</v>
      </c>
      <c r="V69" s="53">
        <f t="shared" si="34"/>
        <v>3.6171577975430759E-4</v>
      </c>
      <c r="W69" s="54">
        <f t="shared" si="35"/>
        <v>2.0420352248333658E-2</v>
      </c>
      <c r="X69" s="55">
        <f t="shared" si="15"/>
        <v>1E-3</v>
      </c>
      <c r="Y69" s="56">
        <f t="shared" si="12"/>
        <v>2.0083547918100065E-2</v>
      </c>
      <c r="Z69" s="18"/>
      <c r="AA69" s="53">
        <f t="shared" si="36"/>
        <v>7.9577471545947659E-2</v>
      </c>
      <c r="AB69" s="54">
        <f t="shared" si="37"/>
        <v>1.2566370614359175E-2</v>
      </c>
      <c r="AC69" s="56">
        <f t="shared" si="38"/>
        <v>6.0000000000000001E-3</v>
      </c>
      <c r="AD69" s="56">
        <f t="shared" si="39"/>
        <v>0</v>
      </c>
      <c r="AE69" s="15"/>
      <c r="AF69" s="53">
        <f t="shared" si="40"/>
        <v>0.15915494309189532</v>
      </c>
      <c r="AG69" s="54">
        <f t="shared" si="41"/>
        <v>3.1415926535897934E-2</v>
      </c>
      <c r="AH69" s="56">
        <f t="shared" si="42"/>
        <v>1E-4</v>
      </c>
      <c r="AI69" s="56">
        <f t="shared" si="43"/>
        <v>0</v>
      </c>
      <c r="AJ69" s="15"/>
    </row>
    <row r="70" spans="9:36" x14ac:dyDescent="0.35">
      <c r="I70" s="20"/>
      <c r="R70" s="49">
        <v>20000000</v>
      </c>
      <c r="S70" s="6" cm="1">
        <f t="array" ref="S70">_xlfn.IFS(AND($C$34="Yes", $C$44="Yes"),1/((1/Y70)+(1/AD70)+(1/AI70)), AND($C$34="Yes", $C$44="No"), 1/((1/Y70)+(1/AD70)), AND($C$34="No", $C$44="Yes"), 1/((1/Y70)+(1/AI70)), AND($C$34="No", $C$44="No"), 1/(1/Y70))</f>
        <v>4.0672141892058075E-2</v>
      </c>
      <c r="T70" s="6">
        <f t="shared" si="11"/>
        <v>5.5624585477376753E-2</v>
      </c>
      <c r="V70" s="53">
        <f t="shared" si="34"/>
        <v>1.808578898771538E-4</v>
      </c>
      <c r="W70" s="54">
        <f t="shared" si="35"/>
        <v>4.0840704496667317E-2</v>
      </c>
      <c r="X70" s="55">
        <f t="shared" ref="X70:X87" si="44">(0.001*$C$23)/$C$25</f>
        <v>1E-3</v>
      </c>
      <c r="Y70" s="56">
        <f t="shared" si="12"/>
        <v>4.0672141892058075E-2</v>
      </c>
      <c r="Z70" s="18"/>
      <c r="AA70" s="53">
        <f t="shared" si="36"/>
        <v>3.9788735772973829E-2</v>
      </c>
      <c r="AB70" s="54">
        <f t="shared" si="37"/>
        <v>2.513274122871835E-2</v>
      </c>
      <c r="AC70" s="56">
        <f t="shared" si="38"/>
        <v>6.0000000000000001E-3</v>
      </c>
      <c r="AD70" s="56">
        <f t="shared" si="39"/>
        <v>0</v>
      </c>
      <c r="AE70" s="15"/>
      <c r="AF70" s="53">
        <f t="shared" si="40"/>
        <v>7.9577471545947659E-2</v>
      </c>
      <c r="AG70" s="54">
        <f t="shared" si="41"/>
        <v>6.2831853071795868E-2</v>
      </c>
      <c r="AH70" s="56">
        <f t="shared" si="42"/>
        <v>1E-4</v>
      </c>
      <c r="AI70" s="56">
        <f t="shared" si="43"/>
        <v>0</v>
      </c>
      <c r="AJ70" s="15"/>
    </row>
    <row r="71" spans="9:36" x14ac:dyDescent="0.35">
      <c r="I71" s="20"/>
      <c r="R71" s="49">
        <v>30000000</v>
      </c>
      <c r="S71" s="6" cm="1">
        <f t="array" ref="S71">_xlfn.IFS(AND($C$34="Yes", $C$44="Yes"),1/((1/Y71)+(1/AD71)+(1/AI71)), AND($C$34="Yes", $C$44="No"), 1/((1/Y71)+(1/AD71)), AND($C$34="No", $C$44="Yes"), 1/((1/Y71)+(1/AI71)), AND($C$34="No", $C$44="No"), 1/(1/Y71))</f>
        <v>6.1148662158962912E-2</v>
      </c>
      <c r="T71" s="6">
        <f t="shared" si="11"/>
        <v>5.5624585477376753E-2</v>
      </c>
      <c r="V71" s="53">
        <f t="shared" si="34"/>
        <v>1.2057192658476921E-4</v>
      </c>
      <c r="W71" s="54">
        <f t="shared" si="35"/>
        <v>6.1261056745000965E-2</v>
      </c>
      <c r="X71" s="55">
        <f t="shared" si="44"/>
        <v>1E-3</v>
      </c>
      <c r="Y71" s="56">
        <f t="shared" ref="Y71:Y87" si="45">SQRT(X71^(2)+ABS(V71-W71)^(2))</f>
        <v>6.1148662158962905E-2</v>
      </c>
      <c r="Z71" s="18"/>
      <c r="AA71" s="53">
        <f t="shared" si="36"/>
        <v>2.6525823848649224E-2</v>
      </c>
      <c r="AB71" s="54">
        <f t="shared" si="37"/>
        <v>3.7699111843077525E-2</v>
      </c>
      <c r="AC71" s="56">
        <f t="shared" si="38"/>
        <v>6.0000000000000001E-3</v>
      </c>
      <c r="AD71" s="56">
        <f t="shared" si="39"/>
        <v>0</v>
      </c>
      <c r="AE71" s="15"/>
      <c r="AF71" s="53">
        <f t="shared" si="40"/>
        <v>5.3051647697298449E-2</v>
      </c>
      <c r="AG71" s="54">
        <f t="shared" si="41"/>
        <v>9.4247779607693802E-2</v>
      </c>
      <c r="AH71" s="56">
        <f t="shared" si="42"/>
        <v>1E-4</v>
      </c>
      <c r="AI71" s="56">
        <f t="shared" si="43"/>
        <v>0</v>
      </c>
      <c r="AJ71" s="15"/>
    </row>
    <row r="72" spans="9:36" x14ac:dyDescent="0.35">
      <c r="I72" s="20"/>
      <c r="R72" s="49">
        <v>40000000</v>
      </c>
      <c r="S72" s="6" cm="1">
        <f t="array" ref="S72">_xlfn.IFS(AND($C$34="Yes", $C$44="Yes"),1/((1/Y72)+(1/AD72)+(1/AI72)), AND($C$34="Yes", $C$44="No"), 1/((1/Y72)+(1/AD72)), AND($C$34="No", $C$44="Yes"), 1/((1/Y72)+(1/AI72)), AND($C$34="No", $C$44="No"), 1/(1/Y72))</f>
        <v>8.1597107946653133E-2</v>
      </c>
      <c r="T72" s="6">
        <f t="shared" si="11"/>
        <v>5.5624585477376753E-2</v>
      </c>
      <c r="V72" s="53">
        <f t="shared" si="34"/>
        <v>9.0428944938576898E-5</v>
      </c>
      <c r="W72" s="54">
        <f t="shared" si="35"/>
        <v>8.1681408993334634E-2</v>
      </c>
      <c r="X72" s="55">
        <f t="shared" si="44"/>
        <v>1E-3</v>
      </c>
      <c r="Y72" s="56">
        <f t="shared" si="45"/>
        <v>8.1597107946653133E-2</v>
      </c>
      <c r="Z72" s="18"/>
      <c r="AA72" s="53">
        <f t="shared" si="36"/>
        <v>1.9894367886486915E-2</v>
      </c>
      <c r="AB72" s="54">
        <f t="shared" si="37"/>
        <v>5.02654824574367E-2</v>
      </c>
      <c r="AC72" s="56">
        <f t="shared" si="38"/>
        <v>6.0000000000000001E-3</v>
      </c>
      <c r="AD72" s="56">
        <f t="shared" si="39"/>
        <v>0</v>
      </c>
      <c r="AE72" s="15"/>
      <c r="AF72" s="53">
        <f t="shared" si="40"/>
        <v>3.9788735772973829E-2</v>
      </c>
      <c r="AG72" s="54">
        <f t="shared" si="41"/>
        <v>0.12566370614359174</v>
      </c>
      <c r="AH72" s="56">
        <f t="shared" si="42"/>
        <v>1E-4</v>
      </c>
      <c r="AI72" s="56">
        <f t="shared" ref="AI72:AI87" si="46">IF($C$44="Yes", SQRT(AH72^(2)+ABS(AF72-AG72)^(2)), 0)</f>
        <v>0</v>
      </c>
      <c r="AJ72" s="15"/>
    </row>
    <row r="73" spans="9:36" x14ac:dyDescent="0.35">
      <c r="I73" s="20"/>
      <c r="R73" s="49">
        <v>50000000</v>
      </c>
      <c r="S73" s="6" cm="1">
        <f t="array" ref="S73">_xlfn.IFS(AND($C$34="Yes", $C$44="Yes"),1/((1/Y73)+(1/AD73)+(1/AI73)), AND($C$34="Yes", $C$44="No"), 1/((1/Y73)+(1/AD73)), AND($C$34="No", $C$44="Yes"), 1/((1/Y73)+(1/AI73)), AND($C$34="No", $C$44="No"), 1/(1/Y73))</f>
        <v>0.10203431851543929</v>
      </c>
      <c r="T73" s="6">
        <f t="shared" ref="T73:T87" si="47">$C$19/1000</f>
        <v>5.5624585477376753E-2</v>
      </c>
      <c r="V73" s="53">
        <f t="shared" si="34"/>
        <v>7.234315595086154E-5</v>
      </c>
      <c r="W73" s="54">
        <f t="shared" si="35"/>
        <v>0.10210176124166827</v>
      </c>
      <c r="X73" s="55">
        <f t="shared" si="44"/>
        <v>1E-3</v>
      </c>
      <c r="Y73" s="56">
        <f t="shared" si="45"/>
        <v>0.10203431851543929</v>
      </c>
      <c r="Z73" s="18"/>
      <c r="AA73" s="53">
        <f t="shared" si="36"/>
        <v>1.5915494309189537E-2</v>
      </c>
      <c r="AB73" s="54">
        <f t="shared" si="37"/>
        <v>6.2831853071795868E-2</v>
      </c>
      <c r="AC73" s="56">
        <f t="shared" si="38"/>
        <v>6.0000000000000001E-3</v>
      </c>
      <c r="AD73" s="56">
        <f t="shared" si="39"/>
        <v>0</v>
      </c>
      <c r="AE73" s="15"/>
      <c r="AF73" s="53">
        <f t="shared" si="40"/>
        <v>3.1830988618379075E-2</v>
      </c>
      <c r="AG73" s="54">
        <f t="shared" si="41"/>
        <v>0.15707963267948966</v>
      </c>
      <c r="AH73" s="56">
        <f t="shared" si="42"/>
        <v>1E-4</v>
      </c>
      <c r="AI73" s="56">
        <f t="shared" si="46"/>
        <v>0</v>
      </c>
      <c r="AJ73" s="15"/>
    </row>
    <row r="74" spans="9:36" x14ac:dyDescent="0.35">
      <c r="I74" s="20"/>
      <c r="R74" s="49">
        <v>60000000</v>
      </c>
      <c r="S74" s="6" cm="1">
        <f t="array" ref="S74">_xlfn.IFS(AND($C$34="Yes", $C$44="Yes"),1/((1/Y74)+(1/AD74)+(1/AI74)), AND($C$34="Yes", $C$44="No"), 1/((1/Y74)+(1/AD74)), AND($C$34="No", $C$44="Yes"), 1/((1/Y74)+(1/AI74)), AND($C$34="No", $C$44="No"), 1/(1/Y74))</f>
        <v>0.12246591036358467</v>
      </c>
      <c r="T74" s="6">
        <f t="shared" si="47"/>
        <v>5.5624585477376753E-2</v>
      </c>
      <c r="V74" s="53">
        <f t="shared" si="34"/>
        <v>6.0285963292384603E-5</v>
      </c>
      <c r="W74" s="54">
        <f t="shared" si="35"/>
        <v>0.12252211349000193</v>
      </c>
      <c r="X74" s="55">
        <f t="shared" si="44"/>
        <v>1E-3</v>
      </c>
      <c r="Y74" s="56">
        <f t="shared" si="45"/>
        <v>0.12246591036358467</v>
      </c>
      <c r="Z74" s="18"/>
      <c r="AA74" s="53">
        <f t="shared" si="36"/>
        <v>1.3262911924324612E-2</v>
      </c>
      <c r="AB74" s="54">
        <f t="shared" si="37"/>
        <v>7.539822368615505E-2</v>
      </c>
      <c r="AC74" s="56">
        <f t="shared" si="38"/>
        <v>6.0000000000000001E-3</v>
      </c>
      <c r="AD74" s="56">
        <f t="shared" si="39"/>
        <v>0</v>
      </c>
      <c r="AE74" s="15"/>
      <c r="AF74" s="53">
        <f t="shared" si="40"/>
        <v>2.6525823848649224E-2</v>
      </c>
      <c r="AG74" s="54">
        <f t="shared" si="41"/>
        <v>0.1884955592153876</v>
      </c>
      <c r="AH74" s="56">
        <f t="shared" si="42"/>
        <v>1E-4</v>
      </c>
      <c r="AI74" s="56">
        <f t="shared" si="46"/>
        <v>0</v>
      </c>
      <c r="AJ74" s="15"/>
    </row>
    <row r="75" spans="9:36" x14ac:dyDescent="0.35">
      <c r="I75" s="20"/>
      <c r="R75" s="49">
        <v>70000000</v>
      </c>
      <c r="S75" s="6" cm="1">
        <f t="array" ref="S75">_xlfn.IFS(AND($C$34="Yes", $C$44="Yes"),1/((1/Y75)+(1/AD75)+(1/AI75)), AND($C$34="Yes", $C$44="No"), 1/((1/Y75)+(1/AD75)), AND($C$34="No", $C$44="Yes"), 1/((1/Y75)+(1/AI75)), AND($C$34="No", $C$44="No"), 1/(1/Y75))</f>
        <v>0.14289429118845867</v>
      </c>
      <c r="T75" s="6">
        <f t="shared" si="47"/>
        <v>5.5624585477376753E-2</v>
      </c>
      <c r="V75" s="53">
        <f t="shared" si="34"/>
        <v>5.1673682822043948E-5</v>
      </c>
      <c r="W75" s="54">
        <f t="shared" si="35"/>
        <v>0.14294246573833561</v>
      </c>
      <c r="X75" s="55">
        <f t="shared" si="44"/>
        <v>1E-3</v>
      </c>
      <c r="Y75" s="56">
        <f t="shared" si="45"/>
        <v>0.14289429118845867</v>
      </c>
      <c r="Z75" s="18"/>
      <c r="AA75" s="53">
        <f t="shared" si="36"/>
        <v>1.1368210220849665E-2</v>
      </c>
      <c r="AB75" s="54">
        <f t="shared" si="37"/>
        <v>8.7964594300514218E-2</v>
      </c>
      <c r="AC75" s="56">
        <f t="shared" si="38"/>
        <v>6.0000000000000001E-3</v>
      </c>
      <c r="AD75" s="56">
        <f t="shared" si="39"/>
        <v>0</v>
      </c>
      <c r="AE75" s="15"/>
      <c r="AF75" s="53">
        <f t="shared" si="40"/>
        <v>2.273642044169933E-2</v>
      </c>
      <c r="AG75" s="54">
        <f t="shared" si="41"/>
        <v>0.21991148575128552</v>
      </c>
      <c r="AH75" s="56">
        <f t="shared" si="42"/>
        <v>1E-4</v>
      </c>
      <c r="AI75" s="56">
        <f t="shared" si="46"/>
        <v>0</v>
      </c>
      <c r="AJ75" s="15"/>
    </row>
    <row r="76" spans="9:36" x14ac:dyDescent="0.35">
      <c r="I76" s="20"/>
      <c r="R76" s="49">
        <v>80000000</v>
      </c>
      <c r="S76" s="6" cm="1">
        <f t="array" ref="S76">_xlfn.IFS(AND($C$34="Yes", $C$44="Yes"),1/((1/Y76)+(1/AD76)+(1/AI76)), AND($C$34="Yes", $C$44="No"), 1/((1/Y76)+(1/AD76)), AND($C$34="No", $C$44="Yes"), 1/((1/Y76)+(1/AI76)), AND($C$34="No", $C$44="No"), 1/(1/Y76))</f>
        <v>0.16332066500483466</v>
      </c>
      <c r="T76" s="6">
        <f t="shared" si="47"/>
        <v>5.5624585477376753E-2</v>
      </c>
      <c r="V76" s="53">
        <f t="shared" si="34"/>
        <v>4.5214472469288449E-5</v>
      </c>
      <c r="W76" s="54">
        <f t="shared" si="35"/>
        <v>0.16336281798666927</v>
      </c>
      <c r="X76" s="55">
        <f t="shared" si="44"/>
        <v>1E-3</v>
      </c>
      <c r="Y76" s="56">
        <f t="shared" si="45"/>
        <v>0.16332066500483466</v>
      </c>
      <c r="Z76" s="18"/>
      <c r="AA76" s="53">
        <f t="shared" si="36"/>
        <v>9.9471839432434574E-3</v>
      </c>
      <c r="AB76" s="54">
        <f t="shared" si="37"/>
        <v>0.1005309649148734</v>
      </c>
      <c r="AC76" s="56">
        <f t="shared" si="38"/>
        <v>6.0000000000000001E-3</v>
      </c>
      <c r="AD76" s="56">
        <f t="shared" si="39"/>
        <v>0</v>
      </c>
      <c r="AE76" s="15"/>
      <c r="AF76" s="53">
        <f t="shared" si="40"/>
        <v>1.9894367886486915E-2</v>
      </c>
      <c r="AG76" s="54">
        <f t="shared" si="41"/>
        <v>0.25132741228718347</v>
      </c>
      <c r="AH76" s="56">
        <f t="shared" si="42"/>
        <v>1E-4</v>
      </c>
      <c r="AI76" s="56">
        <f t="shared" si="46"/>
        <v>0</v>
      </c>
      <c r="AJ76" s="15"/>
    </row>
    <row r="77" spans="9:36" x14ac:dyDescent="0.35">
      <c r="I77" s="20"/>
      <c r="R77" s="49">
        <v>90000000</v>
      </c>
      <c r="S77" s="6" cm="1">
        <f t="array" ref="S77">_xlfn.IFS(AND($C$34="Yes", $C$44="Yes"),1/((1/Y77)+(1/AD77)+(1/AI77)), AND($C$34="Yes", $C$44="No"), 1/((1/Y77)+(1/AD77)), AND($C$34="No", $C$44="Yes"), 1/((1/Y77)+(1/AI77)), AND($C$34="No", $C$44="No"), 1/(1/Y77))</f>
        <v>0.18374570076506022</v>
      </c>
      <c r="T77" s="6">
        <f t="shared" si="47"/>
        <v>5.5624585477376753E-2</v>
      </c>
      <c r="V77" s="53">
        <f t="shared" si="34"/>
        <v>4.0190642194923073E-5</v>
      </c>
      <c r="W77" s="54">
        <f t="shared" si="35"/>
        <v>0.1837831702350029</v>
      </c>
      <c r="X77" s="55">
        <f t="shared" si="44"/>
        <v>1E-3</v>
      </c>
      <c r="Y77" s="56">
        <f t="shared" si="45"/>
        <v>0.18374570076506022</v>
      </c>
      <c r="Z77" s="18"/>
      <c r="AA77" s="53">
        <f t="shared" si="36"/>
        <v>8.8419412828830753E-3</v>
      </c>
      <c r="AB77" s="54">
        <f t="shared" si="37"/>
        <v>0.11309733552923257</v>
      </c>
      <c r="AC77" s="56">
        <f t="shared" si="38"/>
        <v>6.0000000000000001E-3</v>
      </c>
      <c r="AD77" s="56">
        <f t="shared" si="39"/>
        <v>0</v>
      </c>
      <c r="AE77" s="15"/>
      <c r="AF77" s="53">
        <f t="shared" si="40"/>
        <v>1.7683882565766151E-2</v>
      </c>
      <c r="AG77" s="54">
        <f t="shared" si="41"/>
        <v>0.28274333882308139</v>
      </c>
      <c r="AH77" s="56">
        <f t="shared" si="42"/>
        <v>1E-4</v>
      </c>
      <c r="AI77" s="56">
        <f t="shared" si="46"/>
        <v>0</v>
      </c>
      <c r="AJ77" s="15"/>
    </row>
    <row r="78" spans="9:36" x14ac:dyDescent="0.35">
      <c r="I78" s="20"/>
      <c r="R78" s="49">
        <v>100000000</v>
      </c>
      <c r="S78" s="6" cm="1">
        <f t="array" ref="S78">_xlfn.IFS(AND($C$34="Yes", $C$44="Yes"),1/((1/Y78)+(1/AD78)+(1/AI78)), AND($C$34="Yes", $C$44="No"), 1/((1/Y78)+(1/AD78)), AND($C$34="No", $C$44="Yes"), 1/((1/Y78)+(1/AI78)), AND($C$34="No", $C$44="No"), 1/(1/Y78))</f>
        <v>0.2041697998620581</v>
      </c>
      <c r="T78" s="6">
        <f t="shared" si="47"/>
        <v>5.5624585477376753E-2</v>
      </c>
      <c r="V78" s="53">
        <f t="shared" si="34"/>
        <v>3.617157797543077E-5</v>
      </c>
      <c r="W78" s="54">
        <f t="shared" si="35"/>
        <v>0.20420352248333654</v>
      </c>
      <c r="X78" s="55">
        <f t="shared" si="44"/>
        <v>1E-3</v>
      </c>
      <c r="Y78" s="56">
        <f t="shared" si="45"/>
        <v>0.2041697998620581</v>
      </c>
      <c r="Z78" s="18"/>
      <c r="AA78" s="53">
        <f t="shared" si="36"/>
        <v>7.9577471545947687E-3</v>
      </c>
      <c r="AB78" s="54">
        <f t="shared" si="37"/>
        <v>0.12566370614359174</v>
      </c>
      <c r="AC78" s="56">
        <f t="shared" si="38"/>
        <v>6.0000000000000001E-3</v>
      </c>
      <c r="AD78" s="56">
        <f t="shared" si="39"/>
        <v>0</v>
      </c>
      <c r="AE78" s="15"/>
      <c r="AF78" s="53">
        <f t="shared" si="40"/>
        <v>1.5915494309189537E-2</v>
      </c>
      <c r="AG78" s="54">
        <f t="shared" si="41"/>
        <v>0.31415926535897931</v>
      </c>
      <c r="AH78" s="56">
        <f t="shared" si="42"/>
        <v>1E-4</v>
      </c>
      <c r="AI78" s="56">
        <f t="shared" si="46"/>
        <v>0</v>
      </c>
      <c r="AJ78" s="15"/>
    </row>
    <row r="79" spans="9:36" x14ac:dyDescent="0.35">
      <c r="I79" s="20"/>
      <c r="R79" s="49">
        <v>200000000</v>
      </c>
      <c r="S79" s="6" cm="1">
        <f t="array" ref="S79">_xlfn.IFS(AND($C$34="Yes", $C$44="Yes"),1/((1/Y79)+(1/AD79)+(1/AI79)), AND($C$34="Yes", $C$44="No"), 1/((1/Y79)+(1/AD79)), AND($C$34="No", $C$44="Yes"), 1/((1/Y79)+(1/AI79)), AND($C$34="No", $C$44="No"), 1/(1/Y79))</f>
        <v>0.4083901834988608</v>
      </c>
      <c r="T79" s="6">
        <f t="shared" si="47"/>
        <v>5.5624585477376753E-2</v>
      </c>
      <c r="V79" s="53">
        <f t="shared" si="34"/>
        <v>1.8085788987715385E-5</v>
      </c>
      <c r="W79" s="54">
        <f t="shared" si="35"/>
        <v>0.40840704496667307</v>
      </c>
      <c r="X79" s="55">
        <f t="shared" si="44"/>
        <v>1E-3</v>
      </c>
      <c r="Y79" s="56">
        <f t="shared" si="45"/>
        <v>0.40839018349886075</v>
      </c>
      <c r="Z79" s="18"/>
      <c r="AA79" s="53">
        <f t="shared" si="36"/>
        <v>3.9788735772973843E-3</v>
      </c>
      <c r="AB79" s="54">
        <f t="shared" si="37"/>
        <v>0.25132741228718347</v>
      </c>
      <c r="AC79" s="56">
        <f t="shared" si="38"/>
        <v>6.0000000000000001E-3</v>
      </c>
      <c r="AD79" s="56">
        <f t="shared" si="39"/>
        <v>0</v>
      </c>
      <c r="AE79" s="15"/>
      <c r="AF79" s="53">
        <f t="shared" si="40"/>
        <v>7.9577471545947687E-3</v>
      </c>
      <c r="AG79" s="54">
        <f t="shared" si="41"/>
        <v>0.62831853071795862</v>
      </c>
      <c r="AH79" s="56">
        <f t="shared" si="42"/>
        <v>1E-4</v>
      </c>
      <c r="AI79" s="56">
        <f t="shared" si="46"/>
        <v>0</v>
      </c>
      <c r="AJ79" s="15"/>
    </row>
    <row r="80" spans="9:36" x14ac:dyDescent="0.35">
      <c r="I80" s="20"/>
      <c r="R80" s="49">
        <v>300000000</v>
      </c>
      <c r="S80" s="6" cm="1">
        <f t="array" ref="S80">_xlfn.IFS(AND($C$34="Yes", $C$44="Yes"),1/((1/Y80)+(1/AD80)+(1/AI80)), AND($C$34="Yes", $C$44="No"), 1/((1/Y80)+(1/AD80)), AND($C$34="No", $C$44="Yes"), 1/((1/Y80)+(1/AI80)), AND($C$34="No", $C$44="No"), 1/(1/Y80))</f>
        <v>0.61259932645206683</v>
      </c>
      <c r="T80" s="6">
        <f t="shared" si="47"/>
        <v>5.5624585477376753E-2</v>
      </c>
      <c r="V80" s="53">
        <f t="shared" si="34"/>
        <v>1.2057192658476922E-5</v>
      </c>
      <c r="W80" s="54">
        <f t="shared" si="35"/>
        <v>0.61261056745000964</v>
      </c>
      <c r="X80" s="55">
        <f t="shared" si="44"/>
        <v>1E-3</v>
      </c>
      <c r="Y80" s="56">
        <f t="shared" si="45"/>
        <v>0.61259932645206683</v>
      </c>
      <c r="Z80" s="18"/>
      <c r="AA80" s="53">
        <f t="shared" si="36"/>
        <v>2.6525823848649226E-3</v>
      </c>
      <c r="AB80" s="54">
        <f t="shared" si="37"/>
        <v>0.37699111843077521</v>
      </c>
      <c r="AC80" s="56">
        <f t="shared" si="38"/>
        <v>6.0000000000000001E-3</v>
      </c>
      <c r="AD80" s="56">
        <f t="shared" si="39"/>
        <v>0</v>
      </c>
      <c r="AE80" s="15"/>
      <c r="AF80" s="53">
        <f t="shared" si="40"/>
        <v>5.3051647697298452E-3</v>
      </c>
      <c r="AG80" s="54">
        <f t="shared" si="41"/>
        <v>0.94247779607693793</v>
      </c>
      <c r="AH80" s="56">
        <f t="shared" si="42"/>
        <v>1E-4</v>
      </c>
      <c r="AI80" s="56">
        <f t="shared" si="46"/>
        <v>0</v>
      </c>
      <c r="AJ80" s="15"/>
    </row>
    <row r="81" spans="9:36" x14ac:dyDescent="0.35">
      <c r="I81" s="20"/>
      <c r="R81" s="49">
        <v>400000000</v>
      </c>
      <c r="S81" s="6" cm="1">
        <f t="array" ref="S81">_xlfn.IFS(AND($C$34="Yes", $C$44="Yes"),1/((1/Y81)+(1/AD81)+(1/AI81)), AND($C$34="Yes", $C$44="No"), 1/((1/Y81)+(1/AD81)), AND($C$34="No", $C$44="Yes"), 1/((1/Y81)+(1/AI81)), AND($C$34="No", $C$44="No"), 1/(1/Y81))</f>
        <v>0.81680565917979642</v>
      </c>
      <c r="T81" s="6">
        <f t="shared" si="47"/>
        <v>5.5624585477376753E-2</v>
      </c>
      <c r="V81" s="53">
        <f t="shared" si="34"/>
        <v>9.0428944938576925E-6</v>
      </c>
      <c r="W81" s="54">
        <f t="shared" si="35"/>
        <v>0.81681408993334614</v>
      </c>
      <c r="X81" s="55">
        <f t="shared" si="44"/>
        <v>1E-3</v>
      </c>
      <c r="Y81" s="56">
        <f t="shared" si="45"/>
        <v>0.81680565917979642</v>
      </c>
      <c r="Z81" s="18"/>
      <c r="AA81" s="53">
        <f t="shared" si="36"/>
        <v>1.9894367886486922E-3</v>
      </c>
      <c r="AB81" s="54">
        <f t="shared" si="37"/>
        <v>0.50265482457436694</v>
      </c>
      <c r="AC81" s="56">
        <f t="shared" si="38"/>
        <v>6.0000000000000001E-3</v>
      </c>
      <c r="AD81" s="56">
        <f t="shared" si="39"/>
        <v>0</v>
      </c>
      <c r="AE81" s="15"/>
      <c r="AF81" s="53">
        <f t="shared" si="40"/>
        <v>3.9788735772973843E-3</v>
      </c>
      <c r="AG81" s="54">
        <f t="shared" si="41"/>
        <v>1.2566370614359172</v>
      </c>
      <c r="AH81" s="56">
        <f t="shared" si="42"/>
        <v>1E-4</v>
      </c>
      <c r="AI81" s="56">
        <f t="shared" si="46"/>
        <v>0</v>
      </c>
      <c r="AJ81" s="15"/>
    </row>
    <row r="82" spans="9:36" x14ac:dyDescent="0.35">
      <c r="I82" s="20"/>
      <c r="R82" s="49">
        <v>500000000</v>
      </c>
      <c r="S82" s="6" cm="1">
        <f t="array" ref="S82">_xlfn.IFS(AND($C$34="Yes", $C$44="Yes"),1/((1/Y82)+(1/AD82)+(1/AI82)), AND($C$34="Yes", $C$44="No"), 1/((1/Y82)+(1/AD82)), AND($C$34="No", $C$44="Yes"), 1/((1/Y82)+(1/AI82)), AND($C$34="No", $C$44="No"), 1/(1/Y82))</f>
        <v>1.0210108678119574</v>
      </c>
      <c r="T82" s="6">
        <f t="shared" si="47"/>
        <v>5.5624585477376753E-2</v>
      </c>
      <c r="V82" s="53">
        <f t="shared" si="34"/>
        <v>7.2343155950861528E-6</v>
      </c>
      <c r="W82" s="54">
        <f t="shared" si="35"/>
        <v>1.0210176124166828</v>
      </c>
      <c r="X82" s="55">
        <f t="shared" si="44"/>
        <v>1E-3</v>
      </c>
      <c r="Y82" s="56">
        <f t="shared" si="45"/>
        <v>1.0210108678119574</v>
      </c>
      <c r="Z82" s="18"/>
      <c r="AA82" s="53">
        <f t="shared" si="36"/>
        <v>1.5915494309189533E-3</v>
      </c>
      <c r="AB82" s="54">
        <f t="shared" si="37"/>
        <v>0.62831853071795873</v>
      </c>
      <c r="AC82" s="56">
        <f t="shared" si="38"/>
        <v>6.0000000000000001E-3</v>
      </c>
      <c r="AD82" s="56">
        <f t="shared" si="39"/>
        <v>0</v>
      </c>
      <c r="AE82" s="15"/>
      <c r="AF82" s="53">
        <f t="shared" si="40"/>
        <v>3.1830988618379067E-3</v>
      </c>
      <c r="AG82" s="54">
        <f t="shared" si="41"/>
        <v>1.5707963267948968</v>
      </c>
      <c r="AH82" s="56">
        <f t="shared" si="42"/>
        <v>1E-4</v>
      </c>
      <c r="AI82" s="56">
        <f t="shared" si="46"/>
        <v>0</v>
      </c>
      <c r="AJ82" s="15"/>
    </row>
    <row r="83" spans="9:36" x14ac:dyDescent="0.35">
      <c r="I83" s="20"/>
      <c r="R83" s="49">
        <v>600000000</v>
      </c>
      <c r="S83" s="6" cm="1">
        <f t="array" ref="S83">_xlfn.IFS(AND($C$34="Yes", $C$44="Yes"),1/((1/Y83)+(1/AD83)+(1/AI83)), AND($C$34="Yes", $C$44="No"), 1/((1/Y83)+(1/AD83)), AND($C$34="No", $C$44="Yes"), 1/((1/Y83)+(1/AI83)), AND($C$34="No", $C$44="No"), 1/(1/Y83))</f>
        <v>1.2252155143952277</v>
      </c>
      <c r="T83" s="6">
        <f t="shared" si="47"/>
        <v>5.5624585477376753E-2</v>
      </c>
      <c r="V83" s="53">
        <f t="shared" si="34"/>
        <v>6.0285963292384608E-6</v>
      </c>
      <c r="W83" s="54">
        <f t="shared" si="35"/>
        <v>1.2252211349000193</v>
      </c>
      <c r="X83" s="55">
        <f t="shared" si="44"/>
        <v>1E-3</v>
      </c>
      <c r="Y83" s="56">
        <f t="shared" si="45"/>
        <v>1.2252155143952277</v>
      </c>
      <c r="Z83" s="18"/>
      <c r="AA83" s="53">
        <f t="shared" si="36"/>
        <v>1.3262911924324613E-3</v>
      </c>
      <c r="AB83" s="54">
        <f t="shared" si="37"/>
        <v>0.75398223686155041</v>
      </c>
      <c r="AC83" s="56">
        <f t="shared" si="38"/>
        <v>6.0000000000000001E-3</v>
      </c>
      <c r="AD83" s="56">
        <f t="shared" si="39"/>
        <v>0</v>
      </c>
      <c r="AE83" s="15"/>
      <c r="AF83" s="53">
        <f t="shared" si="40"/>
        <v>2.6525823848649226E-3</v>
      </c>
      <c r="AG83" s="54">
        <f t="shared" si="41"/>
        <v>1.8849555921538759</v>
      </c>
      <c r="AH83" s="56">
        <f t="shared" si="42"/>
        <v>1E-4</v>
      </c>
      <c r="AI83" s="56">
        <f t="shared" si="46"/>
        <v>0</v>
      </c>
      <c r="AJ83" s="15"/>
    </row>
    <row r="84" spans="9:36" x14ac:dyDescent="0.35">
      <c r="I84" s="20"/>
      <c r="R84" s="49">
        <v>700000000</v>
      </c>
      <c r="S84" s="6" cm="1">
        <f t="array" ref="S84">_xlfn.IFS(AND($C$34="Yes", $C$44="Yes"),1/((1/Y84)+(1/AD84)+(1/AI84)), AND($C$34="Yes", $C$44="No"), 1/((1/Y84)+(1/AD84)), AND($C$34="No", $C$44="Yes"), 1/((1/Y84)+(1/AI84)), AND($C$34="No", $C$44="No"), 1/(1/Y84))</f>
        <v>1.4294198398073792</v>
      </c>
      <c r="T84" s="6">
        <f t="shared" si="47"/>
        <v>5.5624585477376753E-2</v>
      </c>
      <c r="V84" s="53">
        <f t="shared" si="34"/>
        <v>5.1673682822043948E-6</v>
      </c>
      <c r="W84" s="54">
        <f t="shared" si="35"/>
        <v>1.4294246573833558</v>
      </c>
      <c r="X84" s="55">
        <f t="shared" si="44"/>
        <v>1E-3</v>
      </c>
      <c r="Y84" s="56">
        <f t="shared" si="45"/>
        <v>1.4294198398073792</v>
      </c>
      <c r="Z84" s="18"/>
      <c r="AA84" s="53">
        <f t="shared" si="36"/>
        <v>1.1368210220849668E-3</v>
      </c>
      <c r="AB84" s="54">
        <f t="shared" si="37"/>
        <v>0.87964594300514221</v>
      </c>
      <c r="AC84" s="56">
        <f t="shared" si="38"/>
        <v>6.0000000000000001E-3</v>
      </c>
      <c r="AD84" s="56">
        <f t="shared" si="39"/>
        <v>0</v>
      </c>
      <c r="AE84" s="15"/>
      <c r="AF84" s="53">
        <f t="shared" si="40"/>
        <v>2.2736420441699335E-3</v>
      </c>
      <c r="AG84" s="54">
        <f t="shared" si="41"/>
        <v>2.1991148575128552</v>
      </c>
      <c r="AH84" s="56">
        <f t="shared" si="42"/>
        <v>1E-4</v>
      </c>
      <c r="AI84" s="56">
        <f t="shared" si="46"/>
        <v>0</v>
      </c>
      <c r="AJ84" s="15"/>
    </row>
    <row r="85" spans="9:36" x14ac:dyDescent="0.35">
      <c r="I85" s="20"/>
      <c r="R85" s="49">
        <v>800000000</v>
      </c>
      <c r="S85" s="6" cm="1">
        <f t="array" ref="S85">_xlfn.IFS(AND($C$34="Yes", $C$44="Yes"),1/((1/Y85)+(1/AD85)+(1/AI85)), AND($C$34="Yes", $C$44="No"), 1/((1/Y85)+(1/AD85)), AND($C$34="No", $C$44="Yes"), 1/((1/Y85)+(1/AI85)), AND($C$34="No", $C$44="No"), 1/(1/Y85))</f>
        <v>1.6336239644874624</v>
      </c>
      <c r="T85" s="6">
        <f t="shared" si="47"/>
        <v>5.5624585477376753E-2</v>
      </c>
      <c r="V85" s="53">
        <f t="shared" si="34"/>
        <v>4.5214472469288463E-6</v>
      </c>
      <c r="W85" s="54">
        <f t="shared" si="35"/>
        <v>1.6336281798666923</v>
      </c>
      <c r="X85" s="55">
        <f t="shared" si="44"/>
        <v>1E-3</v>
      </c>
      <c r="Y85" s="56">
        <f t="shared" si="45"/>
        <v>1.6336239644874622</v>
      </c>
      <c r="Z85" s="18"/>
      <c r="AA85" s="53">
        <f t="shared" si="36"/>
        <v>9.9471839432434608E-4</v>
      </c>
      <c r="AB85" s="54">
        <f t="shared" si="37"/>
        <v>1.0053096491487339</v>
      </c>
      <c r="AC85" s="56">
        <f t="shared" si="38"/>
        <v>6.0000000000000001E-3</v>
      </c>
      <c r="AD85" s="56">
        <f t="shared" si="39"/>
        <v>0</v>
      </c>
      <c r="AE85" s="15"/>
      <c r="AF85" s="53">
        <f t="shared" si="40"/>
        <v>1.9894367886486922E-3</v>
      </c>
      <c r="AG85" s="54">
        <f t="shared" si="41"/>
        <v>2.5132741228718345</v>
      </c>
      <c r="AH85" s="56">
        <f t="shared" si="42"/>
        <v>1E-4</v>
      </c>
      <c r="AI85" s="56">
        <f t="shared" si="46"/>
        <v>0</v>
      </c>
      <c r="AJ85" s="15"/>
    </row>
    <row r="86" spans="9:36" x14ac:dyDescent="0.35">
      <c r="I86" s="20"/>
      <c r="R86" s="49">
        <v>900000000</v>
      </c>
      <c r="S86" s="6" cm="1">
        <f t="array" ref="S86">_xlfn.IFS(AND($C$34="Yes", $C$44="Yes"),1/((1/Y86)+(1/AD86)+(1/AI86)), AND($C$34="Yes", $C$44="No"), 1/((1/Y86)+(1/AD86)), AND($C$34="No", $C$44="Yes"), 1/((1/Y86)+(1/AI86)), AND($C$34="No", $C$44="No"), 1/(1/Y86))</f>
        <v>1.8378279553461165</v>
      </c>
      <c r="T86" s="6">
        <f t="shared" si="47"/>
        <v>5.5624585477376753E-2</v>
      </c>
      <c r="V86" s="53">
        <f t="shared" si="34"/>
        <v>4.0190642194923058E-6</v>
      </c>
      <c r="W86" s="54">
        <f t="shared" si="35"/>
        <v>1.8378317023500292</v>
      </c>
      <c r="X86" s="55">
        <f t="shared" si="44"/>
        <v>1E-3</v>
      </c>
      <c r="Y86" s="56">
        <f t="shared" si="45"/>
        <v>1.8378279553461163</v>
      </c>
      <c r="Z86" s="18"/>
      <c r="AA86" s="53">
        <f t="shared" si="36"/>
        <v>8.8419412828830721E-4</v>
      </c>
      <c r="AB86" s="54">
        <f t="shared" si="37"/>
        <v>1.1309733552923258</v>
      </c>
      <c r="AC86" s="56">
        <f t="shared" si="38"/>
        <v>6.0000000000000001E-3</v>
      </c>
      <c r="AD86" s="56">
        <f t="shared" si="39"/>
        <v>0</v>
      </c>
      <c r="AE86" s="15"/>
      <c r="AF86" s="53">
        <f t="shared" si="40"/>
        <v>1.7683882565766144E-3</v>
      </c>
      <c r="AG86" s="54">
        <f t="shared" si="41"/>
        <v>2.8274333882308142</v>
      </c>
      <c r="AH86" s="56">
        <f t="shared" si="42"/>
        <v>1E-4</v>
      </c>
      <c r="AI86" s="56">
        <f t="shared" si="46"/>
        <v>0</v>
      </c>
      <c r="AJ86" s="15"/>
    </row>
    <row r="87" spans="9:36" x14ac:dyDescent="0.35">
      <c r="I87" s="20"/>
      <c r="R87" s="49">
        <v>1000000000</v>
      </c>
      <c r="S87" s="6" cm="1">
        <f t="array" ref="S87">_xlfn.IFS(AND($C$34="Yes", $C$44="Yes"),1/((1/Y87)+(1/AD87)+(1/AI87)), AND($C$34="Yes", $C$44="No"), 1/((1/Y87)+(1/AD87)), AND($C$34="No", $C$44="Yes"), 1/((1/Y87)+(1/AI87)), AND($C$34="No", $C$44="No"), 1/(1/Y87))</f>
        <v>2.0420318525297456</v>
      </c>
      <c r="T87" s="6">
        <f t="shared" si="47"/>
        <v>5.5624585477376753E-2</v>
      </c>
      <c r="V87" s="53">
        <f t="shared" si="34"/>
        <v>3.6171577975430764E-6</v>
      </c>
      <c r="W87" s="54">
        <f t="shared" si="35"/>
        <v>2.0420352248333655</v>
      </c>
      <c r="X87" s="55">
        <f t="shared" si="44"/>
        <v>1E-3</v>
      </c>
      <c r="Y87" s="56">
        <f t="shared" si="45"/>
        <v>2.0420318525297456</v>
      </c>
      <c r="Z87" s="18"/>
      <c r="AA87" s="53">
        <f t="shared" si="36"/>
        <v>7.9577471545947667E-4</v>
      </c>
      <c r="AB87" s="54">
        <f t="shared" si="37"/>
        <v>1.2566370614359175</v>
      </c>
      <c r="AC87" s="56">
        <f t="shared" si="38"/>
        <v>6.0000000000000001E-3</v>
      </c>
      <c r="AD87" s="56">
        <f t="shared" si="39"/>
        <v>0</v>
      </c>
      <c r="AE87" s="15"/>
      <c r="AF87" s="53">
        <f t="shared" si="40"/>
        <v>1.5915494309189533E-3</v>
      </c>
      <c r="AG87" s="54">
        <f t="shared" si="41"/>
        <v>3.1415926535897936</v>
      </c>
      <c r="AH87" s="56">
        <f t="shared" si="42"/>
        <v>1E-4</v>
      </c>
      <c r="AI87" s="56">
        <f t="shared" si="46"/>
        <v>0</v>
      </c>
      <c r="AJ87" s="15"/>
    </row>
    <row r="88" spans="9:36" x14ac:dyDescent="0.35">
      <c r="I88" s="20"/>
      <c r="T88" s="6">
        <f t="shared" ref="T88:T89" si="48">$C$3/1000</f>
        <v>0</v>
      </c>
    </row>
    <row r="89" spans="9:36" x14ac:dyDescent="0.35">
      <c r="I89" s="20"/>
      <c r="T89" s="6">
        <f t="shared" si="48"/>
        <v>0</v>
      </c>
    </row>
    <row r="90" spans="9:36" x14ac:dyDescent="0.35">
      <c r="I90" s="20"/>
    </row>
    <row r="91" spans="9:36" x14ac:dyDescent="0.35">
      <c r="I91" s="20"/>
    </row>
    <row r="92" spans="9:36" x14ac:dyDescent="0.35">
      <c r="I92" s="20"/>
    </row>
    <row r="117" spans="19:36" x14ac:dyDescent="0.35">
      <c r="S117" s="18"/>
      <c r="T117" s="18"/>
      <c r="V117" s="18"/>
      <c r="W117" s="18"/>
      <c r="X117" s="18"/>
      <c r="AA117" s="18"/>
      <c r="AB117" s="18"/>
      <c r="AC117" s="18"/>
      <c r="AD117" s="18"/>
      <c r="AE117" s="18"/>
      <c r="AF117" s="18"/>
      <c r="AG117" s="18"/>
      <c r="AH117" s="18"/>
      <c r="AI117" s="18"/>
      <c r="AJ117" s="18"/>
    </row>
    <row r="118" spans="19:36" x14ac:dyDescent="0.35">
      <c r="S118" s="18"/>
      <c r="T118" s="18"/>
      <c r="V118" s="18"/>
      <c r="W118" s="18"/>
      <c r="X118" s="18"/>
      <c r="AA118" s="18"/>
      <c r="AB118" s="18"/>
      <c r="AC118" s="18"/>
      <c r="AD118" s="18"/>
      <c r="AE118" s="18"/>
      <c r="AF118" s="18"/>
      <c r="AG118" s="18"/>
      <c r="AH118" s="18"/>
      <c r="AI118" s="18"/>
      <c r="AJ118" s="18"/>
    </row>
    <row r="119" spans="19:36" x14ac:dyDescent="0.35">
      <c r="S119" s="18"/>
      <c r="T119" s="18"/>
      <c r="V119" s="18"/>
      <c r="W119" s="18"/>
      <c r="X119" s="18"/>
      <c r="AA119" s="18"/>
      <c r="AB119" s="18"/>
      <c r="AC119" s="18"/>
      <c r="AD119" s="18"/>
      <c r="AE119" s="18"/>
      <c r="AF119" s="18"/>
      <c r="AG119" s="18"/>
      <c r="AH119" s="18"/>
      <c r="AI119" s="18"/>
      <c r="AJ119" s="18"/>
    </row>
    <row r="120" spans="19:36" x14ac:dyDescent="0.35">
      <c r="S120" s="18"/>
      <c r="T120" s="18"/>
      <c r="V120" s="18"/>
      <c r="W120" s="18"/>
      <c r="X120" s="18"/>
      <c r="AA120" s="18"/>
      <c r="AB120" s="18"/>
      <c r="AC120" s="18"/>
      <c r="AD120" s="18"/>
      <c r="AE120" s="18"/>
      <c r="AF120" s="18"/>
      <c r="AG120" s="18"/>
      <c r="AH120" s="18"/>
      <c r="AI120" s="18"/>
      <c r="AJ120" s="18"/>
    </row>
    <row r="121" spans="19:36" x14ac:dyDescent="0.35">
      <c r="S121" s="18"/>
      <c r="T121" s="18"/>
      <c r="V121" s="18"/>
      <c r="W121" s="18"/>
      <c r="X121" s="18"/>
      <c r="AA121" s="18"/>
      <c r="AB121" s="18"/>
      <c r="AC121" s="18"/>
      <c r="AD121" s="18"/>
      <c r="AE121" s="18"/>
      <c r="AF121" s="18"/>
      <c r="AG121" s="18"/>
      <c r="AH121" s="18"/>
      <c r="AI121" s="18"/>
      <c r="AJ121" s="18"/>
    </row>
    <row r="122" spans="19:36" x14ac:dyDescent="0.35">
      <c r="S122" s="18"/>
      <c r="T122" s="18"/>
      <c r="V122" s="18"/>
      <c r="W122" s="18"/>
      <c r="X122" s="18"/>
      <c r="AA122" s="18"/>
      <c r="AB122" s="18"/>
      <c r="AC122" s="18"/>
      <c r="AD122" s="18"/>
      <c r="AE122" s="18"/>
      <c r="AF122" s="18"/>
      <c r="AG122" s="18"/>
      <c r="AH122" s="18"/>
      <c r="AI122" s="18"/>
      <c r="AJ122" s="18"/>
    </row>
    <row r="123" spans="19:36" x14ac:dyDescent="0.35">
      <c r="S123" s="18"/>
      <c r="T123" s="18"/>
      <c r="V123" s="18"/>
      <c r="W123" s="18"/>
      <c r="X123" s="18"/>
      <c r="AA123" s="18"/>
      <c r="AB123" s="18"/>
      <c r="AC123" s="18"/>
      <c r="AD123" s="18"/>
      <c r="AE123" s="18"/>
      <c r="AF123" s="18"/>
      <c r="AG123" s="18"/>
      <c r="AH123" s="18"/>
      <c r="AI123" s="18"/>
      <c r="AJ123" s="18"/>
    </row>
    <row r="124" spans="19:36" x14ac:dyDescent="0.35">
      <c r="S124" s="18"/>
      <c r="T124" s="18"/>
      <c r="V124" s="18"/>
      <c r="W124" s="18"/>
      <c r="X124" s="18"/>
      <c r="AA124" s="18"/>
      <c r="AB124" s="18"/>
      <c r="AC124" s="18"/>
      <c r="AD124" s="18"/>
      <c r="AE124" s="18"/>
      <c r="AF124" s="18"/>
      <c r="AG124" s="18"/>
      <c r="AH124" s="18"/>
      <c r="AI124" s="18"/>
      <c r="AJ124" s="18"/>
    </row>
    <row r="125" spans="19:36" x14ac:dyDescent="0.35">
      <c r="S125" s="18"/>
      <c r="T125" s="18"/>
      <c r="V125" s="18"/>
      <c r="W125" s="18"/>
      <c r="X125" s="18"/>
      <c r="AA125" s="18"/>
      <c r="AB125" s="18"/>
      <c r="AC125" s="18"/>
      <c r="AD125" s="18"/>
      <c r="AE125" s="18"/>
      <c r="AF125" s="18"/>
      <c r="AG125" s="18"/>
      <c r="AH125" s="18"/>
      <c r="AI125" s="18"/>
      <c r="AJ125" s="18"/>
    </row>
    <row r="126" spans="19:36" x14ac:dyDescent="0.35">
      <c r="S126" s="18"/>
      <c r="T126" s="18"/>
      <c r="V126" s="18"/>
      <c r="W126" s="18"/>
      <c r="X126" s="18"/>
      <c r="AA126" s="18"/>
      <c r="AB126" s="18"/>
      <c r="AC126" s="18"/>
      <c r="AD126" s="18"/>
      <c r="AE126" s="18"/>
      <c r="AF126" s="18"/>
      <c r="AG126" s="18"/>
      <c r="AH126" s="18"/>
      <c r="AI126" s="18"/>
      <c r="AJ126" s="18"/>
    </row>
    <row r="127" spans="19:36" x14ac:dyDescent="0.35">
      <c r="S127" s="18"/>
      <c r="T127" s="18"/>
      <c r="V127" s="18"/>
      <c r="W127" s="18"/>
      <c r="X127" s="18"/>
      <c r="AA127" s="18"/>
      <c r="AB127" s="18"/>
      <c r="AC127" s="18"/>
      <c r="AD127" s="18"/>
      <c r="AE127" s="18"/>
      <c r="AF127" s="18"/>
      <c r="AG127" s="18"/>
      <c r="AH127" s="18"/>
      <c r="AI127" s="18"/>
      <c r="AJ127" s="18"/>
    </row>
  </sheetData>
  <dataValidations count="1">
    <dataValidation type="list" allowBlank="1" showInputMessage="1" showErrorMessage="1" sqref="C34 C44" xr:uid="{1C145FC3-95DE-4489-BEAB-27032FD29504}">
      <formula1>"Yes,No"</formula1>
    </dataValidation>
  </dataValidations>
  <pageMargins left="0.7" right="0.7" top="0.75" bottom="0.75" header="0.3" footer="0.3"/>
  <pageSetup orientation="portrait" r:id="rId1"/>
  <ignoredErrors>
    <ignoredError sqref="C7"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69B7-8F38-42AF-9C4A-29D15EFE7671}">
  <dimension ref="B2:AG70"/>
  <sheetViews>
    <sheetView workbookViewId="0"/>
  </sheetViews>
  <sheetFormatPr defaultRowHeight="14.5" x14ac:dyDescent="0.35"/>
  <cols>
    <col min="7" max="7" width="11.08984375" bestFit="1" customWidth="1"/>
    <col min="21" max="21" width="11.08984375" bestFit="1" customWidth="1"/>
  </cols>
  <sheetData>
    <row r="2" spans="2:33" x14ac:dyDescent="0.35">
      <c r="W2" t="s">
        <v>41</v>
      </c>
      <c r="X2" s="34">
        <v>0.1</v>
      </c>
    </row>
    <row r="3" spans="2:33" x14ac:dyDescent="0.35">
      <c r="W3" t="s">
        <v>46</v>
      </c>
      <c r="X3" s="34">
        <v>0.05</v>
      </c>
    </row>
    <row r="4" spans="2:33" x14ac:dyDescent="0.35">
      <c r="B4" s="25">
        <v>0.2</v>
      </c>
      <c r="C4" s="25">
        <v>0.1</v>
      </c>
      <c r="D4" s="26" t="s">
        <v>38</v>
      </c>
      <c r="E4" s="25">
        <v>0.02</v>
      </c>
      <c r="F4" s="25">
        <v>0.01</v>
      </c>
      <c r="G4" s="26" t="s">
        <v>39</v>
      </c>
      <c r="I4" s="25">
        <v>0.2</v>
      </c>
      <c r="J4" s="25">
        <v>0.1</v>
      </c>
      <c r="K4" s="26" t="s">
        <v>38</v>
      </c>
      <c r="L4" s="25">
        <v>0.02</v>
      </c>
      <c r="M4" s="25">
        <v>0.01</v>
      </c>
      <c r="N4" s="26" t="s">
        <v>39</v>
      </c>
      <c r="P4" s="25">
        <v>0.2</v>
      </c>
      <c r="Q4" s="25">
        <v>0.1</v>
      </c>
      <c r="R4" s="26" t="s">
        <v>38</v>
      </c>
      <c r="S4" s="25">
        <v>0.02</v>
      </c>
      <c r="T4" s="25">
        <v>0.01</v>
      </c>
      <c r="U4" s="26" t="s">
        <v>39</v>
      </c>
      <c r="W4" t="s">
        <v>44</v>
      </c>
      <c r="X4" s="34">
        <v>0.01</v>
      </c>
    </row>
    <row r="6" spans="2:33" x14ac:dyDescent="0.35">
      <c r="B6" s="27" t="s">
        <v>40</v>
      </c>
      <c r="C6" s="28" t="s">
        <v>41</v>
      </c>
      <c r="D6" s="29" t="s">
        <v>42</v>
      </c>
      <c r="E6" s="30" t="s">
        <v>43</v>
      </c>
      <c r="F6" s="31" t="s">
        <v>44</v>
      </c>
      <c r="G6" s="32" t="s">
        <v>45</v>
      </c>
      <c r="H6" s="33"/>
      <c r="I6" s="27" t="s">
        <v>40</v>
      </c>
      <c r="J6" s="28" t="s">
        <v>41</v>
      </c>
      <c r="K6" s="29" t="s">
        <v>42</v>
      </c>
      <c r="L6" s="30" t="s">
        <v>43</v>
      </c>
      <c r="M6" s="31" t="s">
        <v>44</v>
      </c>
      <c r="N6" s="32" t="s">
        <v>45</v>
      </c>
      <c r="O6" s="33"/>
      <c r="P6" s="27" t="s">
        <v>40</v>
      </c>
      <c r="Q6" s="28" t="s">
        <v>41</v>
      </c>
      <c r="R6" s="29" t="s">
        <v>42</v>
      </c>
      <c r="S6" s="30" t="s">
        <v>43</v>
      </c>
      <c r="T6" s="31" t="s">
        <v>44</v>
      </c>
      <c r="U6" s="32" t="s">
        <v>45</v>
      </c>
      <c r="W6" s="35" t="s">
        <v>9</v>
      </c>
      <c r="X6" s="36" t="s">
        <v>9</v>
      </c>
      <c r="Y6" s="29" t="s">
        <v>9</v>
      </c>
      <c r="Z6" s="30" t="s">
        <v>9</v>
      </c>
      <c r="AA6" s="32" t="s">
        <v>47</v>
      </c>
      <c r="AB6" s="32" t="s">
        <v>47</v>
      </c>
      <c r="AC6" s="32" t="s">
        <v>47</v>
      </c>
      <c r="AD6" s="32" t="s">
        <v>47</v>
      </c>
      <c r="AE6" s="32" t="s">
        <v>47</v>
      </c>
      <c r="AF6" s="32" t="s">
        <v>47</v>
      </c>
      <c r="AG6" s="32" t="s">
        <v>47</v>
      </c>
    </row>
    <row r="7" spans="2:33" x14ac:dyDescent="0.35">
      <c r="B7" s="114">
        <v>100</v>
      </c>
      <c r="C7" s="117">
        <v>100</v>
      </c>
      <c r="D7" s="116">
        <v>100</v>
      </c>
      <c r="E7" s="115">
        <v>100</v>
      </c>
      <c r="F7" s="113">
        <v>100</v>
      </c>
      <c r="G7" s="32">
        <v>100</v>
      </c>
      <c r="H7" s="33"/>
      <c r="I7" s="114">
        <v>220</v>
      </c>
      <c r="J7" s="117">
        <v>220</v>
      </c>
      <c r="K7" s="116">
        <v>220</v>
      </c>
      <c r="L7" s="115">
        <v>215</v>
      </c>
      <c r="M7" s="113">
        <v>215</v>
      </c>
      <c r="N7" s="32">
        <v>215</v>
      </c>
      <c r="O7" s="33"/>
      <c r="P7" s="114">
        <v>470</v>
      </c>
      <c r="Q7" s="117">
        <v>470</v>
      </c>
      <c r="R7" s="116">
        <v>470</v>
      </c>
      <c r="S7" s="115">
        <v>464</v>
      </c>
      <c r="T7" s="113">
        <v>464</v>
      </c>
      <c r="U7" s="32">
        <v>464</v>
      </c>
      <c r="W7" s="27">
        <v>1</v>
      </c>
      <c r="X7" s="28">
        <f>10*W7</f>
        <v>10</v>
      </c>
      <c r="Y7" s="29">
        <f>X7*10</f>
        <v>100</v>
      </c>
      <c r="Z7" s="30">
        <f>Y7*10</f>
        <v>1000</v>
      </c>
      <c r="AA7" s="32">
        <v>0.01</v>
      </c>
      <c r="AB7" s="32">
        <f>AA7*10</f>
        <v>0.1</v>
      </c>
      <c r="AC7" s="32">
        <f t="shared" ref="AC7:AG7" si="0">AB7*10</f>
        <v>1</v>
      </c>
      <c r="AD7" s="32">
        <f t="shared" si="0"/>
        <v>10</v>
      </c>
      <c r="AE7" s="32">
        <f t="shared" si="0"/>
        <v>100</v>
      </c>
      <c r="AF7" s="32">
        <f t="shared" si="0"/>
        <v>1000</v>
      </c>
      <c r="AG7" s="32">
        <f t="shared" si="0"/>
        <v>10000</v>
      </c>
    </row>
    <row r="8" spans="2:33" x14ac:dyDescent="0.35">
      <c r="B8" s="114"/>
      <c r="C8" s="117"/>
      <c r="D8" s="116"/>
      <c r="E8" s="115"/>
      <c r="F8" s="113"/>
      <c r="G8" s="32">
        <v>101</v>
      </c>
      <c r="H8" s="33"/>
      <c r="I8" s="114"/>
      <c r="J8" s="117"/>
      <c r="K8" s="116"/>
      <c r="L8" s="115"/>
      <c r="M8" s="113"/>
      <c r="N8" s="32">
        <v>218</v>
      </c>
      <c r="O8" s="33"/>
      <c r="P8" s="114"/>
      <c r="Q8" s="117"/>
      <c r="R8" s="116"/>
      <c r="S8" s="115"/>
      <c r="T8" s="113"/>
      <c r="U8" s="32">
        <v>470</v>
      </c>
      <c r="W8" s="27">
        <v>1.1000000000000001</v>
      </c>
      <c r="X8" s="28">
        <f t="shared" ref="X8:X31" si="1">10*W8</f>
        <v>11</v>
      </c>
      <c r="Y8" s="29">
        <f t="shared" ref="Y8:Z31" si="2">X8*10</f>
        <v>110</v>
      </c>
      <c r="Z8" s="30">
        <f t="shared" si="2"/>
        <v>1100</v>
      </c>
      <c r="AA8" s="32"/>
      <c r="AB8" s="32"/>
      <c r="AC8" s="32"/>
      <c r="AD8" s="32"/>
      <c r="AE8" s="32"/>
      <c r="AF8" s="32"/>
      <c r="AG8" s="32"/>
    </row>
    <row r="9" spans="2:33" x14ac:dyDescent="0.35">
      <c r="B9" s="114"/>
      <c r="C9" s="117"/>
      <c r="D9" s="116"/>
      <c r="E9" s="115"/>
      <c r="F9" s="113">
        <v>102</v>
      </c>
      <c r="G9" s="32">
        <v>102</v>
      </c>
      <c r="H9" s="33"/>
      <c r="I9" s="114"/>
      <c r="J9" s="117"/>
      <c r="K9" s="116"/>
      <c r="L9" s="115"/>
      <c r="M9" s="113">
        <v>221</v>
      </c>
      <c r="N9" s="32">
        <v>221</v>
      </c>
      <c r="O9" s="33"/>
      <c r="P9" s="114"/>
      <c r="Q9" s="117"/>
      <c r="R9" s="116"/>
      <c r="S9" s="115"/>
      <c r="T9" s="113">
        <v>475</v>
      </c>
      <c r="U9" s="32">
        <v>475</v>
      </c>
      <c r="W9" s="27">
        <v>1.2</v>
      </c>
      <c r="X9" s="28">
        <f t="shared" si="1"/>
        <v>12</v>
      </c>
      <c r="Y9" s="29">
        <f t="shared" si="2"/>
        <v>120</v>
      </c>
      <c r="Z9" s="30">
        <f t="shared" si="2"/>
        <v>1200</v>
      </c>
      <c r="AA9" s="32"/>
      <c r="AB9" s="32"/>
      <c r="AC9" s="32"/>
      <c r="AD9" s="32"/>
      <c r="AE9" s="32"/>
      <c r="AF9" s="32"/>
      <c r="AG9" s="32"/>
    </row>
    <row r="10" spans="2:33" x14ac:dyDescent="0.35">
      <c r="B10" s="114"/>
      <c r="C10" s="117"/>
      <c r="D10" s="116"/>
      <c r="E10" s="115"/>
      <c r="F10" s="113"/>
      <c r="G10" s="32">
        <v>104</v>
      </c>
      <c r="H10" s="33"/>
      <c r="I10" s="114"/>
      <c r="J10" s="117"/>
      <c r="K10" s="116"/>
      <c r="L10" s="115"/>
      <c r="M10" s="113"/>
      <c r="N10" s="32">
        <v>223</v>
      </c>
      <c r="O10" s="33"/>
      <c r="P10" s="114"/>
      <c r="Q10" s="117"/>
      <c r="R10" s="116"/>
      <c r="S10" s="115"/>
      <c r="T10" s="113"/>
      <c r="U10" s="32">
        <v>481</v>
      </c>
      <c r="W10" s="27">
        <v>1.3</v>
      </c>
      <c r="X10" s="28">
        <f t="shared" si="1"/>
        <v>13</v>
      </c>
      <c r="Y10" s="29">
        <f t="shared" si="2"/>
        <v>130</v>
      </c>
      <c r="Z10" s="30">
        <f t="shared" si="2"/>
        <v>1300</v>
      </c>
      <c r="AA10" s="32"/>
      <c r="AB10" s="32"/>
      <c r="AC10" s="32"/>
      <c r="AD10" s="32"/>
      <c r="AE10" s="32"/>
      <c r="AF10" s="32"/>
      <c r="AG10" s="32"/>
    </row>
    <row r="11" spans="2:33" x14ac:dyDescent="0.35">
      <c r="B11" s="114"/>
      <c r="C11" s="117"/>
      <c r="D11" s="116"/>
      <c r="E11" s="115">
        <v>105</v>
      </c>
      <c r="F11" s="113">
        <v>105</v>
      </c>
      <c r="G11" s="32">
        <v>105</v>
      </c>
      <c r="H11" s="33"/>
      <c r="I11" s="114"/>
      <c r="J11" s="117"/>
      <c r="K11" s="116"/>
      <c r="L11" s="115">
        <v>226</v>
      </c>
      <c r="M11" s="113">
        <v>226</v>
      </c>
      <c r="N11" s="32">
        <v>226</v>
      </c>
      <c r="O11" s="33"/>
      <c r="P11" s="114"/>
      <c r="Q11" s="117"/>
      <c r="R11" s="116"/>
      <c r="S11" s="115">
        <v>487</v>
      </c>
      <c r="T11" s="113">
        <v>487</v>
      </c>
      <c r="U11" s="32">
        <v>487</v>
      </c>
      <c r="W11" s="27">
        <v>1.5</v>
      </c>
      <c r="X11" s="28">
        <f t="shared" si="1"/>
        <v>15</v>
      </c>
      <c r="Y11" s="29">
        <f t="shared" si="2"/>
        <v>150</v>
      </c>
      <c r="Z11" s="30">
        <f t="shared" si="2"/>
        <v>1500</v>
      </c>
      <c r="AA11" s="32">
        <v>0.05</v>
      </c>
      <c r="AB11" s="32">
        <f>AA11*10</f>
        <v>0.5</v>
      </c>
      <c r="AC11" s="32">
        <f t="shared" ref="AC11:AG11" si="3">AB11*10</f>
        <v>5</v>
      </c>
      <c r="AD11" s="32">
        <f t="shared" si="3"/>
        <v>50</v>
      </c>
      <c r="AE11" s="32">
        <f t="shared" si="3"/>
        <v>500</v>
      </c>
      <c r="AF11" s="32">
        <f t="shared" si="3"/>
        <v>5000</v>
      </c>
      <c r="AG11" s="32">
        <f t="shared" si="3"/>
        <v>50000</v>
      </c>
    </row>
    <row r="12" spans="2:33" x14ac:dyDescent="0.35">
      <c r="B12" s="114"/>
      <c r="C12" s="117"/>
      <c r="D12" s="116"/>
      <c r="E12" s="115"/>
      <c r="F12" s="113"/>
      <c r="G12" s="32">
        <v>106</v>
      </c>
      <c r="H12" s="33"/>
      <c r="I12" s="114"/>
      <c r="J12" s="117"/>
      <c r="K12" s="116"/>
      <c r="L12" s="115"/>
      <c r="M12" s="113"/>
      <c r="N12" s="32">
        <v>229</v>
      </c>
      <c r="O12" s="33"/>
      <c r="P12" s="114"/>
      <c r="Q12" s="117"/>
      <c r="R12" s="116"/>
      <c r="S12" s="115"/>
      <c r="T12" s="113"/>
      <c r="U12" s="32">
        <v>493</v>
      </c>
      <c r="W12" s="27">
        <v>1.6</v>
      </c>
      <c r="X12" s="28">
        <f t="shared" si="1"/>
        <v>16</v>
      </c>
      <c r="Y12" s="29">
        <f t="shared" si="2"/>
        <v>160</v>
      </c>
      <c r="Z12" s="30">
        <f t="shared" si="2"/>
        <v>1600</v>
      </c>
      <c r="AA12" s="32"/>
      <c r="AB12" s="32"/>
      <c r="AC12" s="32"/>
      <c r="AD12" s="32"/>
      <c r="AE12" s="32"/>
      <c r="AF12" s="32"/>
      <c r="AG12" s="32"/>
    </row>
    <row r="13" spans="2:33" x14ac:dyDescent="0.35">
      <c r="B13" s="114"/>
      <c r="C13" s="117"/>
      <c r="D13" s="116"/>
      <c r="E13" s="115"/>
      <c r="F13" s="113">
        <v>107</v>
      </c>
      <c r="G13" s="32">
        <v>107</v>
      </c>
      <c r="H13" s="33"/>
      <c r="I13" s="114"/>
      <c r="J13" s="117"/>
      <c r="K13" s="116"/>
      <c r="L13" s="115"/>
      <c r="M13" s="113">
        <v>232</v>
      </c>
      <c r="N13" s="32">
        <v>232</v>
      </c>
      <c r="O13" s="33"/>
      <c r="P13" s="114"/>
      <c r="Q13" s="117"/>
      <c r="R13" s="116"/>
      <c r="S13" s="115"/>
      <c r="T13" s="113">
        <v>499</v>
      </c>
      <c r="U13" s="32">
        <v>499</v>
      </c>
      <c r="W13" s="27">
        <v>1.8</v>
      </c>
      <c r="X13" s="28">
        <f t="shared" si="1"/>
        <v>18</v>
      </c>
      <c r="Y13" s="29">
        <f t="shared" si="2"/>
        <v>180</v>
      </c>
      <c r="Z13" s="30">
        <f t="shared" si="2"/>
        <v>1800</v>
      </c>
      <c r="AA13" s="32"/>
      <c r="AB13" s="32"/>
      <c r="AC13" s="32"/>
      <c r="AD13" s="32"/>
      <c r="AE13" s="32"/>
      <c r="AF13" s="32"/>
      <c r="AG13" s="32"/>
    </row>
    <row r="14" spans="2:33" x14ac:dyDescent="0.35">
      <c r="B14" s="114"/>
      <c r="C14" s="117"/>
      <c r="D14" s="116"/>
      <c r="E14" s="115"/>
      <c r="F14" s="113"/>
      <c r="G14" s="32">
        <v>109</v>
      </c>
      <c r="H14" s="33"/>
      <c r="I14" s="114"/>
      <c r="J14" s="117"/>
      <c r="K14" s="116"/>
      <c r="L14" s="115"/>
      <c r="M14" s="113"/>
      <c r="N14" s="32">
        <v>234</v>
      </c>
      <c r="O14" s="33"/>
      <c r="P14" s="114"/>
      <c r="Q14" s="117"/>
      <c r="R14" s="116"/>
      <c r="S14" s="115"/>
      <c r="T14" s="113"/>
      <c r="U14" s="32">
        <v>505</v>
      </c>
      <c r="W14" s="27">
        <v>2</v>
      </c>
      <c r="X14" s="28">
        <f t="shared" si="1"/>
        <v>20</v>
      </c>
      <c r="Y14" s="29">
        <f t="shared" si="2"/>
        <v>200</v>
      </c>
      <c r="Z14" s="30">
        <f t="shared" si="2"/>
        <v>2000</v>
      </c>
      <c r="AA14" s="32"/>
      <c r="AB14" s="32"/>
      <c r="AC14" s="32"/>
      <c r="AD14" s="32"/>
      <c r="AE14" s="32"/>
      <c r="AF14" s="32"/>
      <c r="AG14" s="32"/>
    </row>
    <row r="15" spans="2:33" x14ac:dyDescent="0.35">
      <c r="B15" s="114"/>
      <c r="C15" s="117"/>
      <c r="D15" s="116">
        <v>110</v>
      </c>
      <c r="E15" s="115">
        <v>110</v>
      </c>
      <c r="F15" s="113">
        <v>110</v>
      </c>
      <c r="G15" s="32">
        <v>110</v>
      </c>
      <c r="H15" s="33"/>
      <c r="I15" s="114"/>
      <c r="J15" s="117"/>
      <c r="K15" s="116">
        <v>240</v>
      </c>
      <c r="L15" s="115">
        <v>237</v>
      </c>
      <c r="M15" s="113">
        <v>237</v>
      </c>
      <c r="N15" s="32">
        <v>237</v>
      </c>
      <c r="O15" s="33"/>
      <c r="P15" s="114"/>
      <c r="Q15" s="117"/>
      <c r="R15" s="116">
        <v>510</v>
      </c>
      <c r="S15" s="115">
        <v>511</v>
      </c>
      <c r="T15" s="113">
        <v>511</v>
      </c>
      <c r="U15" s="32">
        <v>511</v>
      </c>
      <c r="W15" s="27">
        <v>2.2000000000000002</v>
      </c>
      <c r="X15" s="28">
        <f t="shared" si="1"/>
        <v>22</v>
      </c>
      <c r="Y15" s="29">
        <f t="shared" si="2"/>
        <v>220</v>
      </c>
      <c r="Z15" s="30">
        <f t="shared" si="2"/>
        <v>2200</v>
      </c>
      <c r="AA15" s="32">
        <v>2.1999999999999999E-2</v>
      </c>
      <c r="AB15" s="32">
        <f>AA15*10</f>
        <v>0.21999999999999997</v>
      </c>
      <c r="AC15" s="32">
        <f t="shared" ref="AC15:AG15" si="4">AB15*10</f>
        <v>2.1999999999999997</v>
      </c>
      <c r="AD15" s="32">
        <f t="shared" si="4"/>
        <v>21.999999999999996</v>
      </c>
      <c r="AE15" s="32">
        <f t="shared" si="4"/>
        <v>219.99999999999997</v>
      </c>
      <c r="AF15" s="32">
        <f t="shared" si="4"/>
        <v>2199.9999999999995</v>
      </c>
      <c r="AG15" s="32">
        <f t="shared" si="4"/>
        <v>21999.999999999996</v>
      </c>
    </row>
    <row r="16" spans="2:33" x14ac:dyDescent="0.35">
      <c r="B16" s="114"/>
      <c r="C16" s="117"/>
      <c r="D16" s="116"/>
      <c r="E16" s="115"/>
      <c r="F16" s="113"/>
      <c r="G16" s="32">
        <v>111</v>
      </c>
      <c r="H16" s="33"/>
      <c r="I16" s="114"/>
      <c r="J16" s="117"/>
      <c r="K16" s="116"/>
      <c r="L16" s="115"/>
      <c r="M16" s="113"/>
      <c r="N16" s="32">
        <v>240</v>
      </c>
      <c r="O16" s="33"/>
      <c r="P16" s="114"/>
      <c r="Q16" s="117"/>
      <c r="R16" s="116"/>
      <c r="S16" s="115"/>
      <c r="T16" s="113"/>
      <c r="U16" s="32">
        <v>517</v>
      </c>
      <c r="W16" s="27">
        <v>2.4</v>
      </c>
      <c r="X16" s="28">
        <f t="shared" si="1"/>
        <v>24</v>
      </c>
      <c r="Y16" s="29">
        <f t="shared" si="2"/>
        <v>240</v>
      </c>
      <c r="Z16" s="30">
        <f t="shared" si="2"/>
        <v>2400</v>
      </c>
      <c r="AA16" s="32"/>
      <c r="AB16" s="32"/>
      <c r="AC16" s="32"/>
      <c r="AD16" s="32"/>
      <c r="AE16" s="32"/>
      <c r="AF16" s="32"/>
      <c r="AG16" s="32"/>
    </row>
    <row r="17" spans="2:33" x14ac:dyDescent="0.35">
      <c r="B17" s="114"/>
      <c r="C17" s="117"/>
      <c r="D17" s="116"/>
      <c r="E17" s="115"/>
      <c r="F17" s="113">
        <v>113</v>
      </c>
      <c r="G17" s="32">
        <v>113</v>
      </c>
      <c r="H17" s="33"/>
      <c r="I17" s="114"/>
      <c r="J17" s="117"/>
      <c r="K17" s="116"/>
      <c r="L17" s="115"/>
      <c r="M17" s="113">
        <v>243</v>
      </c>
      <c r="N17" s="32">
        <v>243</v>
      </c>
      <c r="O17" s="33"/>
      <c r="P17" s="114"/>
      <c r="Q17" s="117"/>
      <c r="R17" s="116"/>
      <c r="S17" s="115"/>
      <c r="T17" s="113">
        <v>523</v>
      </c>
      <c r="U17" s="32">
        <v>523</v>
      </c>
      <c r="W17" s="27">
        <v>2.7</v>
      </c>
      <c r="X17" s="28">
        <f t="shared" si="1"/>
        <v>27</v>
      </c>
      <c r="Y17" s="29">
        <f t="shared" si="2"/>
        <v>270</v>
      </c>
      <c r="Z17" s="30">
        <f t="shared" si="2"/>
        <v>2700</v>
      </c>
      <c r="AA17" s="32"/>
      <c r="AB17" s="32"/>
      <c r="AC17" s="32"/>
      <c r="AD17" s="32"/>
      <c r="AE17" s="32"/>
      <c r="AF17" s="32"/>
      <c r="AG17" s="32"/>
    </row>
    <row r="18" spans="2:33" x14ac:dyDescent="0.35">
      <c r="B18" s="114"/>
      <c r="C18" s="117"/>
      <c r="D18" s="116"/>
      <c r="E18" s="115"/>
      <c r="F18" s="113"/>
      <c r="G18" s="32">
        <v>114</v>
      </c>
      <c r="H18" s="33"/>
      <c r="I18" s="114"/>
      <c r="J18" s="117"/>
      <c r="K18" s="116"/>
      <c r="L18" s="115"/>
      <c r="M18" s="113"/>
      <c r="N18" s="32">
        <v>246</v>
      </c>
      <c r="O18" s="33"/>
      <c r="P18" s="114"/>
      <c r="Q18" s="117"/>
      <c r="R18" s="116"/>
      <c r="S18" s="115"/>
      <c r="T18" s="113"/>
      <c r="U18" s="32">
        <v>530</v>
      </c>
      <c r="W18" s="27">
        <v>3</v>
      </c>
      <c r="X18" s="28">
        <f t="shared" si="1"/>
        <v>30</v>
      </c>
      <c r="Y18" s="29">
        <f t="shared" si="2"/>
        <v>300</v>
      </c>
      <c r="Z18" s="30">
        <f t="shared" si="2"/>
        <v>3000</v>
      </c>
      <c r="AA18" s="32"/>
      <c r="AB18" s="32"/>
      <c r="AC18" s="32"/>
      <c r="AD18" s="32"/>
      <c r="AE18" s="32"/>
      <c r="AF18" s="32"/>
      <c r="AG18" s="32"/>
    </row>
    <row r="19" spans="2:33" x14ac:dyDescent="0.35">
      <c r="B19" s="114"/>
      <c r="C19" s="117"/>
      <c r="D19" s="116"/>
      <c r="E19" s="115">
        <v>115</v>
      </c>
      <c r="F19" s="113">
        <v>115</v>
      </c>
      <c r="G19" s="32">
        <v>115</v>
      </c>
      <c r="H19" s="33"/>
      <c r="I19" s="114"/>
      <c r="J19" s="117"/>
      <c r="K19" s="116"/>
      <c r="L19" s="115">
        <v>249</v>
      </c>
      <c r="M19" s="113">
        <v>249</v>
      </c>
      <c r="N19" s="32">
        <v>249</v>
      </c>
      <c r="O19" s="33"/>
      <c r="P19" s="114"/>
      <c r="Q19" s="117"/>
      <c r="R19" s="116"/>
      <c r="S19" s="115">
        <v>536</v>
      </c>
      <c r="T19" s="113">
        <v>536</v>
      </c>
      <c r="U19" s="32">
        <v>536</v>
      </c>
      <c r="W19" s="27">
        <v>3.1</v>
      </c>
      <c r="X19" s="28">
        <f t="shared" si="1"/>
        <v>31</v>
      </c>
      <c r="Y19" s="29">
        <f t="shared" si="2"/>
        <v>310</v>
      </c>
      <c r="Z19" s="30">
        <f t="shared" si="2"/>
        <v>3100</v>
      </c>
      <c r="AA19" s="32"/>
      <c r="AB19" s="32"/>
      <c r="AC19" s="32"/>
      <c r="AD19" s="32"/>
      <c r="AE19" s="32"/>
      <c r="AF19" s="32"/>
      <c r="AG19" s="32"/>
    </row>
    <row r="20" spans="2:33" x14ac:dyDescent="0.35">
      <c r="B20" s="114"/>
      <c r="C20" s="117"/>
      <c r="D20" s="116"/>
      <c r="E20" s="115"/>
      <c r="F20" s="113"/>
      <c r="G20" s="32">
        <v>117</v>
      </c>
      <c r="H20" s="33"/>
      <c r="I20" s="114"/>
      <c r="J20" s="117"/>
      <c r="K20" s="116"/>
      <c r="L20" s="115"/>
      <c r="M20" s="113"/>
      <c r="N20" s="32">
        <v>252</v>
      </c>
      <c r="O20" s="33"/>
      <c r="P20" s="114"/>
      <c r="Q20" s="117"/>
      <c r="R20" s="116"/>
      <c r="S20" s="115"/>
      <c r="T20" s="113"/>
      <c r="U20" s="32">
        <v>542</v>
      </c>
      <c r="W20" s="27">
        <v>3.3</v>
      </c>
      <c r="X20" s="28">
        <f t="shared" si="1"/>
        <v>33</v>
      </c>
      <c r="Y20" s="29">
        <f t="shared" si="2"/>
        <v>330</v>
      </c>
      <c r="Z20" s="30">
        <f t="shared" si="2"/>
        <v>3300</v>
      </c>
      <c r="AA20" s="32">
        <v>3.3000000000000002E-2</v>
      </c>
      <c r="AB20" s="32">
        <f>AA20*10</f>
        <v>0.33</v>
      </c>
      <c r="AC20" s="32">
        <f t="shared" ref="AC20:AG20" si="5">AB20*10</f>
        <v>3.3000000000000003</v>
      </c>
      <c r="AD20" s="32">
        <f t="shared" si="5"/>
        <v>33</v>
      </c>
      <c r="AE20" s="32">
        <f t="shared" si="5"/>
        <v>330</v>
      </c>
      <c r="AF20" s="32">
        <f t="shared" si="5"/>
        <v>3300</v>
      </c>
      <c r="AG20" s="32">
        <f t="shared" si="5"/>
        <v>33000</v>
      </c>
    </row>
    <row r="21" spans="2:33" x14ac:dyDescent="0.35">
      <c r="B21" s="114"/>
      <c r="C21" s="117"/>
      <c r="D21" s="116"/>
      <c r="E21" s="115"/>
      <c r="F21" s="113">
        <v>118</v>
      </c>
      <c r="G21" s="32">
        <v>118</v>
      </c>
      <c r="H21" s="33"/>
      <c r="I21" s="114"/>
      <c r="J21" s="117"/>
      <c r="K21" s="116"/>
      <c r="L21" s="115"/>
      <c r="M21" s="113">
        <v>255</v>
      </c>
      <c r="N21" s="32">
        <v>255</v>
      </c>
      <c r="O21" s="33"/>
      <c r="P21" s="114"/>
      <c r="Q21" s="117"/>
      <c r="R21" s="116"/>
      <c r="S21" s="115"/>
      <c r="T21" s="113">
        <v>549</v>
      </c>
      <c r="U21" s="32">
        <v>549</v>
      </c>
      <c r="W21" s="27">
        <v>3.6</v>
      </c>
      <c r="X21" s="28">
        <f t="shared" si="1"/>
        <v>36</v>
      </c>
      <c r="Y21" s="29">
        <f t="shared" si="2"/>
        <v>360</v>
      </c>
      <c r="Z21" s="30">
        <f t="shared" si="2"/>
        <v>3600</v>
      </c>
      <c r="AA21" s="32"/>
      <c r="AB21" s="32"/>
      <c r="AC21" s="32"/>
      <c r="AD21" s="32"/>
      <c r="AE21" s="32"/>
      <c r="AF21" s="32"/>
      <c r="AG21" s="32"/>
    </row>
    <row r="22" spans="2:33" x14ac:dyDescent="0.35">
      <c r="B22" s="114"/>
      <c r="C22" s="117"/>
      <c r="D22" s="116"/>
      <c r="E22" s="115"/>
      <c r="F22" s="113"/>
      <c r="G22" s="32">
        <v>120</v>
      </c>
      <c r="H22" s="33"/>
      <c r="I22" s="114"/>
      <c r="J22" s="117"/>
      <c r="K22" s="116"/>
      <c r="L22" s="115"/>
      <c r="M22" s="113"/>
      <c r="N22" s="32">
        <v>258</v>
      </c>
      <c r="O22" s="33"/>
      <c r="P22" s="114"/>
      <c r="Q22" s="117"/>
      <c r="R22" s="116"/>
      <c r="S22" s="115"/>
      <c r="T22" s="113"/>
      <c r="U22" s="32">
        <v>556</v>
      </c>
      <c r="W22" s="27">
        <v>3.9</v>
      </c>
      <c r="X22" s="28">
        <f t="shared" si="1"/>
        <v>39</v>
      </c>
      <c r="Y22" s="29">
        <f t="shared" si="2"/>
        <v>390</v>
      </c>
      <c r="Z22" s="30">
        <f t="shared" si="2"/>
        <v>3900</v>
      </c>
      <c r="AA22" s="32"/>
      <c r="AB22" s="32"/>
      <c r="AC22" s="32"/>
      <c r="AD22" s="32"/>
      <c r="AE22" s="32"/>
      <c r="AF22" s="32"/>
      <c r="AG22" s="32"/>
    </row>
    <row r="23" spans="2:33" x14ac:dyDescent="0.35">
      <c r="B23" s="114"/>
      <c r="C23" s="117">
        <v>120</v>
      </c>
      <c r="D23" s="116">
        <v>120</v>
      </c>
      <c r="E23" s="115">
        <v>121</v>
      </c>
      <c r="F23" s="113">
        <v>121</v>
      </c>
      <c r="G23" s="32">
        <v>121</v>
      </c>
      <c r="H23" s="33"/>
      <c r="I23" s="114"/>
      <c r="J23" s="117">
        <v>270</v>
      </c>
      <c r="K23" s="116">
        <v>270</v>
      </c>
      <c r="L23" s="115">
        <v>261</v>
      </c>
      <c r="M23" s="113">
        <v>261</v>
      </c>
      <c r="N23" s="32">
        <v>261</v>
      </c>
      <c r="O23" s="33"/>
      <c r="P23" s="114"/>
      <c r="Q23" s="117">
        <v>560</v>
      </c>
      <c r="R23" s="116">
        <v>560</v>
      </c>
      <c r="S23" s="115">
        <v>562</v>
      </c>
      <c r="T23" s="113">
        <v>562</v>
      </c>
      <c r="U23" s="32">
        <v>562</v>
      </c>
      <c r="W23" s="27">
        <v>4.3</v>
      </c>
      <c r="X23" s="28">
        <f t="shared" si="1"/>
        <v>43</v>
      </c>
      <c r="Y23" s="29">
        <f t="shared" si="2"/>
        <v>430</v>
      </c>
      <c r="Z23" s="30">
        <f t="shared" si="2"/>
        <v>4300</v>
      </c>
      <c r="AA23" s="32"/>
      <c r="AB23" s="32"/>
      <c r="AC23" s="32"/>
      <c r="AD23" s="32"/>
      <c r="AE23" s="32"/>
      <c r="AF23" s="32"/>
      <c r="AG23" s="32"/>
    </row>
    <row r="24" spans="2:33" x14ac:dyDescent="0.35">
      <c r="B24" s="114"/>
      <c r="C24" s="117"/>
      <c r="D24" s="116"/>
      <c r="E24" s="115"/>
      <c r="F24" s="113"/>
      <c r="G24" s="32">
        <v>123</v>
      </c>
      <c r="H24" s="33"/>
      <c r="I24" s="114"/>
      <c r="J24" s="117"/>
      <c r="K24" s="116"/>
      <c r="L24" s="115"/>
      <c r="M24" s="113"/>
      <c r="N24" s="32">
        <v>264</v>
      </c>
      <c r="O24" s="33"/>
      <c r="P24" s="114"/>
      <c r="Q24" s="117"/>
      <c r="R24" s="116"/>
      <c r="S24" s="115"/>
      <c r="T24" s="113"/>
      <c r="U24" s="32">
        <v>569</v>
      </c>
      <c r="W24" s="27">
        <v>4.6999999999999904</v>
      </c>
      <c r="X24" s="28">
        <f t="shared" si="1"/>
        <v>46.999999999999901</v>
      </c>
      <c r="Y24" s="29">
        <f t="shared" si="2"/>
        <v>469.99999999999898</v>
      </c>
      <c r="Z24" s="30">
        <f t="shared" si="2"/>
        <v>4699.99999999999</v>
      </c>
      <c r="AA24" s="32">
        <v>4.7E-2</v>
      </c>
      <c r="AB24" s="32">
        <f>AA24*10</f>
        <v>0.47</v>
      </c>
      <c r="AC24" s="32">
        <f t="shared" ref="AC24:AG24" si="6">AB24*10</f>
        <v>4.6999999999999993</v>
      </c>
      <c r="AD24" s="32">
        <f t="shared" si="6"/>
        <v>46.999999999999993</v>
      </c>
      <c r="AE24" s="32">
        <f t="shared" si="6"/>
        <v>469.99999999999994</v>
      </c>
      <c r="AF24" s="32">
        <f t="shared" si="6"/>
        <v>4699.9999999999991</v>
      </c>
      <c r="AG24" s="32">
        <f t="shared" si="6"/>
        <v>46999.999999999993</v>
      </c>
    </row>
    <row r="25" spans="2:33" x14ac:dyDescent="0.35">
      <c r="B25" s="114"/>
      <c r="C25" s="117"/>
      <c r="D25" s="116"/>
      <c r="E25" s="115"/>
      <c r="F25" s="113">
        <v>124</v>
      </c>
      <c r="G25" s="32">
        <v>124</v>
      </c>
      <c r="H25" s="33"/>
      <c r="I25" s="114"/>
      <c r="J25" s="117"/>
      <c r="K25" s="116"/>
      <c r="L25" s="115"/>
      <c r="M25" s="113">
        <v>267</v>
      </c>
      <c r="N25" s="32">
        <v>267</v>
      </c>
      <c r="O25" s="33"/>
      <c r="P25" s="114"/>
      <c r="Q25" s="117"/>
      <c r="R25" s="116"/>
      <c r="S25" s="115"/>
      <c r="T25" s="113">
        <v>576</v>
      </c>
      <c r="U25" s="32">
        <v>576</v>
      </c>
      <c r="W25" s="27">
        <v>5.0999999999999899</v>
      </c>
      <c r="X25" s="28">
        <f t="shared" si="1"/>
        <v>50.999999999999901</v>
      </c>
      <c r="Y25" s="29">
        <f t="shared" si="2"/>
        <v>509.99999999999898</v>
      </c>
      <c r="Z25" s="30">
        <f t="shared" si="2"/>
        <v>5099.99999999999</v>
      </c>
      <c r="AA25" s="32"/>
      <c r="AB25" s="32"/>
      <c r="AC25" s="32"/>
      <c r="AD25" s="32"/>
      <c r="AE25" s="32"/>
      <c r="AF25" s="32"/>
      <c r="AG25" s="32"/>
    </row>
    <row r="26" spans="2:33" x14ac:dyDescent="0.35">
      <c r="B26" s="114"/>
      <c r="C26" s="117"/>
      <c r="D26" s="116"/>
      <c r="E26" s="115"/>
      <c r="F26" s="113"/>
      <c r="G26" s="32">
        <v>126</v>
      </c>
      <c r="H26" s="33"/>
      <c r="I26" s="114"/>
      <c r="J26" s="117"/>
      <c r="K26" s="116"/>
      <c r="L26" s="115"/>
      <c r="M26" s="113"/>
      <c r="N26" s="32">
        <v>271</v>
      </c>
      <c r="O26" s="33"/>
      <c r="P26" s="114"/>
      <c r="Q26" s="117"/>
      <c r="R26" s="116"/>
      <c r="S26" s="115"/>
      <c r="T26" s="113"/>
      <c r="U26" s="32">
        <v>583</v>
      </c>
      <c r="W26" s="27">
        <v>5.5999999999999899</v>
      </c>
      <c r="X26" s="28">
        <f t="shared" si="1"/>
        <v>55.999999999999901</v>
      </c>
      <c r="Y26" s="29">
        <f t="shared" si="2"/>
        <v>559.99999999999898</v>
      </c>
      <c r="Z26" s="30">
        <f t="shared" si="2"/>
        <v>5599.99999999999</v>
      </c>
      <c r="AA26" s="32"/>
      <c r="AB26" s="32"/>
      <c r="AC26" s="32"/>
      <c r="AD26" s="32"/>
      <c r="AE26" s="32"/>
      <c r="AF26" s="32"/>
      <c r="AG26" s="32"/>
    </row>
    <row r="27" spans="2:33" x14ac:dyDescent="0.35">
      <c r="B27" s="114"/>
      <c r="C27" s="117"/>
      <c r="D27" s="116"/>
      <c r="E27" s="115">
        <v>127</v>
      </c>
      <c r="F27" s="113">
        <v>127</v>
      </c>
      <c r="G27" s="32">
        <v>127</v>
      </c>
      <c r="H27" s="33"/>
      <c r="I27" s="114"/>
      <c r="J27" s="117"/>
      <c r="K27" s="116"/>
      <c r="L27" s="115">
        <v>274</v>
      </c>
      <c r="M27" s="113">
        <v>274</v>
      </c>
      <c r="N27" s="32">
        <v>274</v>
      </c>
      <c r="O27" s="33"/>
      <c r="P27" s="114"/>
      <c r="Q27" s="117"/>
      <c r="R27" s="116"/>
      <c r="S27" s="115">
        <v>590</v>
      </c>
      <c r="T27" s="113">
        <v>590</v>
      </c>
      <c r="U27" s="32">
        <v>590</v>
      </c>
      <c r="W27" s="27">
        <v>6.2</v>
      </c>
      <c r="X27" s="28">
        <f t="shared" si="1"/>
        <v>62</v>
      </c>
      <c r="Y27" s="29">
        <f t="shared" si="2"/>
        <v>620</v>
      </c>
      <c r="Z27" s="30">
        <f t="shared" si="2"/>
        <v>6200</v>
      </c>
      <c r="AA27" s="32"/>
      <c r="AB27" s="32"/>
      <c r="AC27" s="32"/>
      <c r="AD27" s="32"/>
      <c r="AE27" s="32"/>
      <c r="AF27" s="32"/>
      <c r="AG27" s="32"/>
    </row>
    <row r="28" spans="2:33" x14ac:dyDescent="0.35">
      <c r="B28" s="114"/>
      <c r="C28" s="117"/>
      <c r="D28" s="116"/>
      <c r="E28" s="115"/>
      <c r="F28" s="113"/>
      <c r="G28" s="32">
        <v>129</v>
      </c>
      <c r="H28" s="33"/>
      <c r="I28" s="114"/>
      <c r="J28" s="117"/>
      <c r="K28" s="116"/>
      <c r="L28" s="115"/>
      <c r="M28" s="113"/>
      <c r="N28" s="32">
        <v>277</v>
      </c>
      <c r="O28" s="33"/>
      <c r="P28" s="114"/>
      <c r="Q28" s="117"/>
      <c r="R28" s="116"/>
      <c r="S28" s="115"/>
      <c r="T28" s="113"/>
      <c r="U28" s="32">
        <v>597</v>
      </c>
      <c r="W28" s="27">
        <v>6.8</v>
      </c>
      <c r="X28" s="28">
        <f t="shared" si="1"/>
        <v>68</v>
      </c>
      <c r="Y28" s="29">
        <f t="shared" si="2"/>
        <v>680</v>
      </c>
      <c r="Z28" s="30">
        <f t="shared" si="2"/>
        <v>6800</v>
      </c>
      <c r="AA28" s="32">
        <v>6.8000000000000005E-2</v>
      </c>
      <c r="AB28" s="32">
        <v>6.8000000000000005E-2</v>
      </c>
      <c r="AC28" s="32">
        <v>6.8000000000000005E-2</v>
      </c>
      <c r="AD28" s="32">
        <v>6.8000000000000005E-2</v>
      </c>
      <c r="AE28" s="32">
        <v>6.8000000000000005E-2</v>
      </c>
      <c r="AF28" s="32">
        <v>6.8000000000000005E-2</v>
      </c>
      <c r="AG28" s="32">
        <v>6.8000000000000005E-2</v>
      </c>
    </row>
    <row r="29" spans="2:33" x14ac:dyDescent="0.35">
      <c r="B29" s="114"/>
      <c r="C29" s="117"/>
      <c r="D29" s="116"/>
      <c r="E29" s="115"/>
      <c r="F29" s="113">
        <v>130</v>
      </c>
      <c r="G29" s="32">
        <v>130</v>
      </c>
      <c r="H29" s="33"/>
      <c r="I29" s="114"/>
      <c r="J29" s="117"/>
      <c r="K29" s="116"/>
      <c r="L29" s="115"/>
      <c r="M29" s="113">
        <v>280</v>
      </c>
      <c r="N29" s="32">
        <v>280</v>
      </c>
      <c r="O29" s="33"/>
      <c r="P29" s="114"/>
      <c r="Q29" s="117"/>
      <c r="R29" s="116"/>
      <c r="S29" s="115"/>
      <c r="T29" s="113">
        <v>604</v>
      </c>
      <c r="U29" s="32">
        <v>604</v>
      </c>
      <c r="W29" s="27">
        <v>7.5</v>
      </c>
      <c r="X29" s="28">
        <f t="shared" si="1"/>
        <v>75</v>
      </c>
      <c r="Y29" s="29">
        <f t="shared" si="2"/>
        <v>750</v>
      </c>
      <c r="Z29" s="30">
        <f t="shared" si="2"/>
        <v>7500</v>
      </c>
      <c r="AA29" s="32"/>
      <c r="AB29" s="32"/>
      <c r="AC29" s="32"/>
      <c r="AD29" s="32"/>
      <c r="AE29" s="32"/>
      <c r="AF29" s="32"/>
      <c r="AG29" s="32"/>
    </row>
    <row r="30" spans="2:33" x14ac:dyDescent="0.35">
      <c r="B30" s="114"/>
      <c r="C30" s="117"/>
      <c r="D30" s="116"/>
      <c r="E30" s="115"/>
      <c r="F30" s="113"/>
      <c r="G30" s="32">
        <v>132</v>
      </c>
      <c r="H30" s="33"/>
      <c r="I30" s="114"/>
      <c r="J30" s="117"/>
      <c r="K30" s="116"/>
      <c r="L30" s="115"/>
      <c r="M30" s="113"/>
      <c r="N30" s="32">
        <v>284</v>
      </c>
      <c r="O30" s="33"/>
      <c r="P30" s="114"/>
      <c r="Q30" s="117"/>
      <c r="R30" s="116"/>
      <c r="S30" s="115"/>
      <c r="T30" s="113"/>
      <c r="U30" s="32">
        <v>612</v>
      </c>
      <c r="W30" s="27">
        <v>8.2000000000000099</v>
      </c>
      <c r="X30" s="28">
        <f t="shared" si="1"/>
        <v>82.000000000000099</v>
      </c>
      <c r="Y30" s="29">
        <f t="shared" si="2"/>
        <v>820.00000000000102</v>
      </c>
      <c r="Z30" s="30">
        <f t="shared" si="2"/>
        <v>8200.0000000000109</v>
      </c>
      <c r="AA30" s="32"/>
      <c r="AB30" s="32"/>
      <c r="AC30" s="32"/>
      <c r="AD30" s="32"/>
      <c r="AE30" s="32"/>
      <c r="AF30" s="32"/>
      <c r="AG30" s="32"/>
    </row>
    <row r="31" spans="2:33" x14ac:dyDescent="0.35">
      <c r="B31" s="114"/>
      <c r="C31" s="117"/>
      <c r="D31" s="116">
        <v>130</v>
      </c>
      <c r="E31" s="115">
        <v>133</v>
      </c>
      <c r="F31" s="113">
        <v>133</v>
      </c>
      <c r="G31" s="32">
        <v>133</v>
      </c>
      <c r="H31" s="33"/>
      <c r="I31" s="114"/>
      <c r="J31" s="117"/>
      <c r="K31" s="116">
        <v>300</v>
      </c>
      <c r="L31" s="115">
        <v>287</v>
      </c>
      <c r="M31" s="113">
        <v>287</v>
      </c>
      <c r="N31" s="32">
        <v>287</v>
      </c>
      <c r="O31" s="33"/>
      <c r="P31" s="114"/>
      <c r="Q31" s="117"/>
      <c r="R31" s="116">
        <v>620</v>
      </c>
      <c r="S31" s="115">
        <v>619</v>
      </c>
      <c r="T31" s="113">
        <v>619</v>
      </c>
      <c r="U31" s="32">
        <v>619</v>
      </c>
      <c r="W31" s="27">
        <v>9.1</v>
      </c>
      <c r="X31" s="28">
        <f t="shared" si="1"/>
        <v>91</v>
      </c>
      <c r="Y31" s="29">
        <f t="shared" si="2"/>
        <v>910</v>
      </c>
      <c r="Z31" s="30">
        <f t="shared" si="2"/>
        <v>9100</v>
      </c>
      <c r="AA31" s="32"/>
      <c r="AB31" s="32"/>
      <c r="AC31" s="32"/>
      <c r="AD31" s="32"/>
      <c r="AE31" s="32"/>
      <c r="AF31" s="32"/>
      <c r="AG31" s="32"/>
    </row>
    <row r="32" spans="2:33" x14ac:dyDescent="0.35">
      <c r="B32" s="114"/>
      <c r="C32" s="117"/>
      <c r="D32" s="116"/>
      <c r="E32" s="115"/>
      <c r="F32" s="113"/>
      <c r="G32" s="32">
        <v>135</v>
      </c>
      <c r="H32" s="33"/>
      <c r="I32" s="114"/>
      <c r="J32" s="117"/>
      <c r="K32" s="116"/>
      <c r="L32" s="115"/>
      <c r="M32" s="113"/>
      <c r="N32" s="32">
        <v>291</v>
      </c>
      <c r="O32" s="33"/>
      <c r="P32" s="114"/>
      <c r="Q32" s="117"/>
      <c r="R32" s="116"/>
      <c r="S32" s="115"/>
      <c r="T32" s="113"/>
      <c r="U32" s="32">
        <v>626</v>
      </c>
    </row>
    <row r="33" spans="2:21" x14ac:dyDescent="0.35">
      <c r="B33" s="114"/>
      <c r="C33" s="117"/>
      <c r="D33" s="116"/>
      <c r="E33" s="115"/>
      <c r="F33" s="113">
        <v>137</v>
      </c>
      <c r="G33" s="32">
        <v>137</v>
      </c>
      <c r="H33" s="33"/>
      <c r="I33" s="114"/>
      <c r="J33" s="117"/>
      <c r="K33" s="116"/>
      <c r="L33" s="115"/>
      <c r="M33" s="113">
        <v>294</v>
      </c>
      <c r="N33" s="32">
        <v>294</v>
      </c>
      <c r="O33" s="33"/>
      <c r="P33" s="114"/>
      <c r="Q33" s="117"/>
      <c r="R33" s="116"/>
      <c r="S33" s="115"/>
      <c r="T33" s="113">
        <v>634</v>
      </c>
      <c r="U33" s="32">
        <v>634</v>
      </c>
    </row>
    <row r="34" spans="2:21" x14ac:dyDescent="0.35">
      <c r="B34" s="114"/>
      <c r="C34" s="117"/>
      <c r="D34" s="116"/>
      <c r="E34" s="115"/>
      <c r="F34" s="113"/>
      <c r="G34" s="32">
        <v>138</v>
      </c>
      <c r="H34" s="33"/>
      <c r="I34" s="114"/>
      <c r="J34" s="117"/>
      <c r="K34" s="116"/>
      <c r="L34" s="115"/>
      <c r="M34" s="113"/>
      <c r="N34" s="32">
        <v>298</v>
      </c>
      <c r="O34" s="33"/>
      <c r="P34" s="114"/>
      <c r="Q34" s="117"/>
      <c r="R34" s="116"/>
      <c r="S34" s="115"/>
      <c r="T34" s="113"/>
      <c r="U34" s="32">
        <v>642</v>
      </c>
    </row>
    <row r="35" spans="2:21" x14ac:dyDescent="0.35">
      <c r="B35" s="114"/>
      <c r="C35" s="117"/>
      <c r="D35" s="116"/>
      <c r="E35" s="115">
        <v>140</v>
      </c>
      <c r="F35" s="113">
        <v>140</v>
      </c>
      <c r="G35" s="32">
        <v>140</v>
      </c>
      <c r="H35" s="33"/>
      <c r="I35" s="114"/>
      <c r="J35" s="117"/>
      <c r="K35" s="116"/>
      <c r="L35" s="115">
        <v>301</v>
      </c>
      <c r="M35" s="113">
        <v>301</v>
      </c>
      <c r="N35" s="32">
        <v>301</v>
      </c>
      <c r="O35" s="33"/>
      <c r="P35" s="114"/>
      <c r="Q35" s="117"/>
      <c r="R35" s="116"/>
      <c r="S35" s="115">
        <v>649</v>
      </c>
      <c r="T35" s="113">
        <v>649</v>
      </c>
      <c r="U35" s="32">
        <v>649</v>
      </c>
    </row>
    <row r="36" spans="2:21" x14ac:dyDescent="0.35">
      <c r="B36" s="114"/>
      <c r="C36" s="117"/>
      <c r="D36" s="116"/>
      <c r="E36" s="115"/>
      <c r="F36" s="113"/>
      <c r="G36" s="32">
        <v>142</v>
      </c>
      <c r="H36" s="33"/>
      <c r="I36" s="114"/>
      <c r="J36" s="117"/>
      <c r="K36" s="116"/>
      <c r="L36" s="115"/>
      <c r="M36" s="113"/>
      <c r="N36" s="32">
        <v>305</v>
      </c>
      <c r="O36" s="33"/>
      <c r="P36" s="114"/>
      <c r="Q36" s="117"/>
      <c r="R36" s="116"/>
      <c r="S36" s="115"/>
      <c r="T36" s="113"/>
      <c r="U36" s="32">
        <v>657</v>
      </c>
    </row>
    <row r="37" spans="2:21" x14ac:dyDescent="0.35">
      <c r="B37" s="114"/>
      <c r="C37" s="117"/>
      <c r="D37" s="116"/>
      <c r="E37" s="115"/>
      <c r="F37" s="113">
        <v>143</v>
      </c>
      <c r="G37" s="32">
        <v>143</v>
      </c>
      <c r="H37" s="33"/>
      <c r="I37" s="114"/>
      <c r="J37" s="117"/>
      <c r="K37" s="116"/>
      <c r="L37" s="115"/>
      <c r="M37" s="113">
        <v>309</v>
      </c>
      <c r="N37" s="32">
        <v>309</v>
      </c>
      <c r="O37" s="33"/>
      <c r="P37" s="114"/>
      <c r="Q37" s="117"/>
      <c r="R37" s="116"/>
      <c r="S37" s="115"/>
      <c r="T37" s="113">
        <v>665</v>
      </c>
      <c r="U37" s="32">
        <v>665</v>
      </c>
    </row>
    <row r="38" spans="2:21" x14ac:dyDescent="0.35">
      <c r="B38" s="114"/>
      <c r="C38" s="117"/>
      <c r="D38" s="116"/>
      <c r="E38" s="115"/>
      <c r="F38" s="113"/>
      <c r="G38" s="32">
        <v>145</v>
      </c>
      <c r="H38" s="33"/>
      <c r="I38" s="114"/>
      <c r="J38" s="117"/>
      <c r="K38" s="116"/>
      <c r="L38" s="115"/>
      <c r="M38" s="113"/>
      <c r="N38" s="32">
        <v>312</v>
      </c>
      <c r="O38" s="33"/>
      <c r="P38" s="114"/>
      <c r="Q38" s="117"/>
      <c r="R38" s="116"/>
      <c r="S38" s="115"/>
      <c r="T38" s="113"/>
      <c r="U38" s="32">
        <v>673</v>
      </c>
    </row>
    <row r="39" spans="2:21" x14ac:dyDescent="0.35">
      <c r="B39" s="114">
        <v>150</v>
      </c>
      <c r="C39" s="117">
        <v>150</v>
      </c>
      <c r="D39" s="116">
        <v>150</v>
      </c>
      <c r="E39" s="115">
        <v>147</v>
      </c>
      <c r="F39" s="113">
        <v>147</v>
      </c>
      <c r="G39" s="32">
        <v>147</v>
      </c>
      <c r="H39" s="33"/>
      <c r="I39" s="114">
        <v>330</v>
      </c>
      <c r="J39" s="117">
        <v>330</v>
      </c>
      <c r="K39" s="116">
        <v>330</v>
      </c>
      <c r="L39" s="115">
        <v>316</v>
      </c>
      <c r="M39" s="113">
        <v>316</v>
      </c>
      <c r="N39" s="32">
        <v>316</v>
      </c>
      <c r="O39" s="33"/>
      <c r="P39" s="114">
        <v>680</v>
      </c>
      <c r="Q39" s="117">
        <v>680</v>
      </c>
      <c r="R39" s="116">
        <v>680</v>
      </c>
      <c r="S39" s="115">
        <v>681</v>
      </c>
      <c r="T39" s="113">
        <v>681</v>
      </c>
      <c r="U39" s="32">
        <v>681</v>
      </c>
    </row>
    <row r="40" spans="2:21" x14ac:dyDescent="0.35">
      <c r="B40" s="114"/>
      <c r="C40" s="117"/>
      <c r="D40" s="116"/>
      <c r="E40" s="115"/>
      <c r="F40" s="113"/>
      <c r="G40" s="32">
        <v>149</v>
      </c>
      <c r="H40" s="33"/>
      <c r="I40" s="114"/>
      <c r="J40" s="117"/>
      <c r="K40" s="116"/>
      <c r="L40" s="115"/>
      <c r="M40" s="113"/>
      <c r="N40" s="32">
        <v>320</v>
      </c>
      <c r="O40" s="33"/>
      <c r="P40" s="114"/>
      <c r="Q40" s="117"/>
      <c r="R40" s="116"/>
      <c r="S40" s="115"/>
      <c r="T40" s="113"/>
      <c r="U40" s="32">
        <v>690</v>
      </c>
    </row>
    <row r="41" spans="2:21" x14ac:dyDescent="0.35">
      <c r="B41" s="114"/>
      <c r="C41" s="117"/>
      <c r="D41" s="116"/>
      <c r="E41" s="115"/>
      <c r="F41" s="113">
        <v>150</v>
      </c>
      <c r="G41" s="32">
        <v>150</v>
      </c>
      <c r="H41" s="33"/>
      <c r="I41" s="114"/>
      <c r="J41" s="117"/>
      <c r="K41" s="116"/>
      <c r="L41" s="115"/>
      <c r="M41" s="113">
        <v>324</v>
      </c>
      <c r="N41" s="32">
        <v>324</v>
      </c>
      <c r="O41" s="33"/>
      <c r="P41" s="114"/>
      <c r="Q41" s="117"/>
      <c r="R41" s="116"/>
      <c r="S41" s="115"/>
      <c r="T41" s="113">
        <v>698</v>
      </c>
      <c r="U41" s="32">
        <v>698</v>
      </c>
    </row>
    <row r="42" spans="2:21" x14ac:dyDescent="0.35">
      <c r="B42" s="114"/>
      <c r="C42" s="117"/>
      <c r="D42" s="116"/>
      <c r="E42" s="115"/>
      <c r="F42" s="113"/>
      <c r="G42" s="32">
        <v>152</v>
      </c>
      <c r="H42" s="33"/>
      <c r="I42" s="114"/>
      <c r="J42" s="117"/>
      <c r="K42" s="116"/>
      <c r="L42" s="115"/>
      <c r="M42" s="113"/>
      <c r="N42" s="32">
        <v>328</v>
      </c>
      <c r="O42" s="33"/>
      <c r="P42" s="114"/>
      <c r="Q42" s="117"/>
      <c r="R42" s="116"/>
      <c r="S42" s="115"/>
      <c r="T42" s="113"/>
      <c r="U42" s="32">
        <v>706</v>
      </c>
    </row>
    <row r="43" spans="2:21" x14ac:dyDescent="0.35">
      <c r="B43" s="114"/>
      <c r="C43" s="117"/>
      <c r="D43" s="116"/>
      <c r="E43" s="115">
        <v>154</v>
      </c>
      <c r="F43" s="113">
        <v>154</v>
      </c>
      <c r="G43" s="32">
        <v>154</v>
      </c>
      <c r="H43" s="33"/>
      <c r="I43" s="114"/>
      <c r="J43" s="117"/>
      <c r="K43" s="116"/>
      <c r="L43" s="115">
        <v>332</v>
      </c>
      <c r="M43" s="113">
        <v>332</v>
      </c>
      <c r="N43" s="32">
        <v>332</v>
      </c>
      <c r="O43" s="33"/>
      <c r="P43" s="114"/>
      <c r="Q43" s="117"/>
      <c r="R43" s="116"/>
      <c r="S43" s="115">
        <v>715</v>
      </c>
      <c r="T43" s="113">
        <v>715</v>
      </c>
      <c r="U43" s="32">
        <v>715</v>
      </c>
    </row>
    <row r="44" spans="2:21" x14ac:dyDescent="0.35">
      <c r="B44" s="114"/>
      <c r="C44" s="117"/>
      <c r="D44" s="116"/>
      <c r="E44" s="115"/>
      <c r="F44" s="113"/>
      <c r="G44" s="32">
        <v>156</v>
      </c>
      <c r="H44" s="33"/>
      <c r="I44" s="114"/>
      <c r="J44" s="117"/>
      <c r="K44" s="116"/>
      <c r="L44" s="115"/>
      <c r="M44" s="113"/>
      <c r="N44" s="32">
        <v>336</v>
      </c>
      <c r="O44" s="33"/>
      <c r="P44" s="114"/>
      <c r="Q44" s="117"/>
      <c r="R44" s="116"/>
      <c r="S44" s="115"/>
      <c r="T44" s="113"/>
      <c r="U44" s="32">
        <v>723</v>
      </c>
    </row>
    <row r="45" spans="2:21" x14ac:dyDescent="0.35">
      <c r="B45" s="114"/>
      <c r="C45" s="117"/>
      <c r="D45" s="116"/>
      <c r="E45" s="115"/>
      <c r="F45" s="113">
        <v>158</v>
      </c>
      <c r="G45" s="32">
        <v>158</v>
      </c>
      <c r="H45" s="33"/>
      <c r="I45" s="114"/>
      <c r="J45" s="117"/>
      <c r="K45" s="116"/>
      <c r="L45" s="115"/>
      <c r="M45" s="113">
        <v>340</v>
      </c>
      <c r="N45" s="32">
        <v>340</v>
      </c>
      <c r="O45" s="33"/>
      <c r="P45" s="114"/>
      <c r="Q45" s="117"/>
      <c r="R45" s="116"/>
      <c r="S45" s="115"/>
      <c r="T45" s="113">
        <v>732</v>
      </c>
      <c r="U45" s="32">
        <v>732</v>
      </c>
    </row>
    <row r="46" spans="2:21" x14ac:dyDescent="0.35">
      <c r="B46" s="114"/>
      <c r="C46" s="117"/>
      <c r="D46" s="116"/>
      <c r="E46" s="115"/>
      <c r="F46" s="113"/>
      <c r="G46" s="32">
        <v>160</v>
      </c>
      <c r="H46" s="33"/>
      <c r="I46" s="114"/>
      <c r="J46" s="117"/>
      <c r="K46" s="116"/>
      <c r="L46" s="115"/>
      <c r="M46" s="113"/>
      <c r="N46" s="32">
        <v>344</v>
      </c>
      <c r="O46" s="33"/>
      <c r="P46" s="114"/>
      <c r="Q46" s="117"/>
      <c r="R46" s="116"/>
      <c r="S46" s="115"/>
      <c r="T46" s="113"/>
      <c r="U46" s="32">
        <v>741</v>
      </c>
    </row>
    <row r="47" spans="2:21" x14ac:dyDescent="0.35">
      <c r="B47" s="114"/>
      <c r="C47" s="117"/>
      <c r="D47" s="116">
        <v>160</v>
      </c>
      <c r="E47" s="115">
        <v>162</v>
      </c>
      <c r="F47" s="113">
        <v>162</v>
      </c>
      <c r="G47" s="32">
        <v>162</v>
      </c>
      <c r="H47" s="33"/>
      <c r="I47" s="114"/>
      <c r="J47" s="117"/>
      <c r="K47" s="116">
        <v>360</v>
      </c>
      <c r="L47" s="115">
        <v>348</v>
      </c>
      <c r="M47" s="113">
        <v>348</v>
      </c>
      <c r="N47" s="32">
        <v>348</v>
      </c>
      <c r="O47" s="33"/>
      <c r="P47" s="114"/>
      <c r="Q47" s="117"/>
      <c r="R47" s="116">
        <v>750</v>
      </c>
      <c r="S47" s="115">
        <v>750</v>
      </c>
      <c r="T47" s="113">
        <v>750</v>
      </c>
      <c r="U47" s="32">
        <v>750</v>
      </c>
    </row>
    <row r="48" spans="2:21" x14ac:dyDescent="0.35">
      <c r="B48" s="114"/>
      <c r="C48" s="117"/>
      <c r="D48" s="116"/>
      <c r="E48" s="115"/>
      <c r="F48" s="113"/>
      <c r="G48" s="32">
        <v>164</v>
      </c>
      <c r="H48" s="33"/>
      <c r="I48" s="114"/>
      <c r="J48" s="117"/>
      <c r="K48" s="116"/>
      <c r="L48" s="115"/>
      <c r="M48" s="113"/>
      <c r="N48" s="32">
        <v>352</v>
      </c>
      <c r="O48" s="33"/>
      <c r="P48" s="114"/>
      <c r="Q48" s="117"/>
      <c r="R48" s="116"/>
      <c r="S48" s="115"/>
      <c r="T48" s="113"/>
      <c r="U48" s="32">
        <v>759</v>
      </c>
    </row>
    <row r="49" spans="2:21" x14ac:dyDescent="0.35">
      <c r="B49" s="114"/>
      <c r="C49" s="117"/>
      <c r="D49" s="116"/>
      <c r="E49" s="115"/>
      <c r="F49" s="113">
        <v>165</v>
      </c>
      <c r="G49" s="32">
        <v>165</v>
      </c>
      <c r="H49" s="33"/>
      <c r="I49" s="114"/>
      <c r="J49" s="117"/>
      <c r="K49" s="116"/>
      <c r="L49" s="115"/>
      <c r="M49" s="113">
        <v>357</v>
      </c>
      <c r="N49" s="32">
        <v>357</v>
      </c>
      <c r="O49" s="33"/>
      <c r="P49" s="114"/>
      <c r="Q49" s="117"/>
      <c r="R49" s="116"/>
      <c r="S49" s="115"/>
      <c r="T49" s="113">
        <v>768</v>
      </c>
      <c r="U49" s="32">
        <v>768</v>
      </c>
    </row>
    <row r="50" spans="2:21" x14ac:dyDescent="0.35">
      <c r="B50" s="114"/>
      <c r="C50" s="117"/>
      <c r="D50" s="116"/>
      <c r="E50" s="115"/>
      <c r="F50" s="113"/>
      <c r="G50" s="32">
        <v>167</v>
      </c>
      <c r="H50" s="33"/>
      <c r="I50" s="114"/>
      <c r="J50" s="117"/>
      <c r="K50" s="116"/>
      <c r="L50" s="115"/>
      <c r="M50" s="113"/>
      <c r="N50" s="32">
        <v>361</v>
      </c>
      <c r="O50" s="33"/>
      <c r="P50" s="114"/>
      <c r="Q50" s="117"/>
      <c r="R50" s="116"/>
      <c r="S50" s="115"/>
      <c r="T50" s="113"/>
      <c r="U50" s="32">
        <v>777</v>
      </c>
    </row>
    <row r="51" spans="2:21" x14ac:dyDescent="0.35">
      <c r="B51" s="114"/>
      <c r="C51" s="117"/>
      <c r="D51" s="116"/>
      <c r="E51" s="115">
        <v>169</v>
      </c>
      <c r="F51" s="113">
        <v>169</v>
      </c>
      <c r="G51" s="32">
        <v>169</v>
      </c>
      <c r="H51" s="33"/>
      <c r="I51" s="114"/>
      <c r="J51" s="117"/>
      <c r="K51" s="116"/>
      <c r="L51" s="115">
        <v>365</v>
      </c>
      <c r="M51" s="113">
        <v>365</v>
      </c>
      <c r="N51" s="32">
        <v>365</v>
      </c>
      <c r="O51" s="33"/>
      <c r="P51" s="114"/>
      <c r="Q51" s="117"/>
      <c r="R51" s="116"/>
      <c r="S51" s="115">
        <v>787</v>
      </c>
      <c r="T51" s="113">
        <v>787</v>
      </c>
      <c r="U51" s="32">
        <v>787</v>
      </c>
    </row>
    <row r="52" spans="2:21" x14ac:dyDescent="0.35">
      <c r="B52" s="114"/>
      <c r="C52" s="117"/>
      <c r="D52" s="116"/>
      <c r="E52" s="115"/>
      <c r="F52" s="113"/>
      <c r="G52" s="32">
        <v>172</v>
      </c>
      <c r="H52" s="33"/>
      <c r="I52" s="114"/>
      <c r="J52" s="117"/>
      <c r="K52" s="116"/>
      <c r="L52" s="115"/>
      <c r="M52" s="113"/>
      <c r="N52" s="32">
        <v>370</v>
      </c>
      <c r="O52" s="33"/>
      <c r="P52" s="114"/>
      <c r="Q52" s="117"/>
      <c r="R52" s="116"/>
      <c r="S52" s="115"/>
      <c r="T52" s="113"/>
      <c r="U52" s="32">
        <v>796</v>
      </c>
    </row>
    <row r="53" spans="2:21" x14ac:dyDescent="0.35">
      <c r="B53" s="114"/>
      <c r="C53" s="117"/>
      <c r="D53" s="116"/>
      <c r="E53" s="115"/>
      <c r="F53" s="113">
        <v>174</v>
      </c>
      <c r="G53" s="32">
        <v>174</v>
      </c>
      <c r="H53" s="33"/>
      <c r="I53" s="114"/>
      <c r="J53" s="117"/>
      <c r="K53" s="116"/>
      <c r="L53" s="115"/>
      <c r="M53" s="113">
        <v>374</v>
      </c>
      <c r="N53" s="32">
        <v>374</v>
      </c>
      <c r="O53" s="33"/>
      <c r="P53" s="114"/>
      <c r="Q53" s="117"/>
      <c r="R53" s="116"/>
      <c r="S53" s="115"/>
      <c r="T53" s="113">
        <v>806</v>
      </c>
      <c r="U53" s="32">
        <v>806</v>
      </c>
    </row>
    <row r="54" spans="2:21" x14ac:dyDescent="0.35">
      <c r="B54" s="114"/>
      <c r="C54" s="117"/>
      <c r="D54" s="116"/>
      <c r="E54" s="115"/>
      <c r="F54" s="113"/>
      <c r="G54" s="32">
        <v>176</v>
      </c>
      <c r="H54" s="33"/>
      <c r="I54" s="114"/>
      <c r="J54" s="117"/>
      <c r="K54" s="116"/>
      <c r="L54" s="115"/>
      <c r="M54" s="113"/>
      <c r="N54" s="32">
        <v>379</v>
      </c>
      <c r="O54" s="33"/>
      <c r="P54" s="114"/>
      <c r="Q54" s="117"/>
      <c r="R54" s="116"/>
      <c r="S54" s="115"/>
      <c r="T54" s="113"/>
      <c r="U54" s="32">
        <v>816</v>
      </c>
    </row>
    <row r="55" spans="2:21" x14ac:dyDescent="0.35">
      <c r="B55" s="114"/>
      <c r="C55" s="117">
        <v>180</v>
      </c>
      <c r="D55" s="116">
        <v>180</v>
      </c>
      <c r="E55" s="115">
        <v>178</v>
      </c>
      <c r="F55" s="113">
        <v>178</v>
      </c>
      <c r="G55" s="32">
        <v>178</v>
      </c>
      <c r="H55" s="33"/>
      <c r="I55" s="114"/>
      <c r="J55" s="117">
        <v>390</v>
      </c>
      <c r="K55" s="116">
        <v>390</v>
      </c>
      <c r="L55" s="115">
        <v>383</v>
      </c>
      <c r="M55" s="113">
        <v>383</v>
      </c>
      <c r="N55" s="32">
        <v>383</v>
      </c>
      <c r="O55" s="33"/>
      <c r="P55" s="114"/>
      <c r="Q55" s="117">
        <v>820</v>
      </c>
      <c r="R55" s="116">
        <v>820</v>
      </c>
      <c r="S55" s="115">
        <v>825</v>
      </c>
      <c r="T55" s="113">
        <v>825</v>
      </c>
      <c r="U55" s="32">
        <v>825</v>
      </c>
    </row>
    <row r="56" spans="2:21" x14ac:dyDescent="0.35">
      <c r="B56" s="114"/>
      <c r="C56" s="117"/>
      <c r="D56" s="116"/>
      <c r="E56" s="115"/>
      <c r="F56" s="113"/>
      <c r="G56" s="32">
        <v>180</v>
      </c>
      <c r="H56" s="33"/>
      <c r="I56" s="114"/>
      <c r="J56" s="117"/>
      <c r="K56" s="116"/>
      <c r="L56" s="115"/>
      <c r="M56" s="113"/>
      <c r="N56" s="32">
        <v>388</v>
      </c>
      <c r="O56" s="33"/>
      <c r="P56" s="114"/>
      <c r="Q56" s="117"/>
      <c r="R56" s="116"/>
      <c r="S56" s="115"/>
      <c r="T56" s="113"/>
      <c r="U56" s="32">
        <v>835</v>
      </c>
    </row>
    <row r="57" spans="2:21" x14ac:dyDescent="0.35">
      <c r="B57" s="114"/>
      <c r="C57" s="117"/>
      <c r="D57" s="116"/>
      <c r="E57" s="115"/>
      <c r="F57" s="113">
        <v>182</v>
      </c>
      <c r="G57" s="32">
        <v>182</v>
      </c>
      <c r="H57" s="33"/>
      <c r="I57" s="114"/>
      <c r="J57" s="117"/>
      <c r="K57" s="116"/>
      <c r="L57" s="115"/>
      <c r="M57" s="113">
        <v>392</v>
      </c>
      <c r="N57" s="32">
        <v>392</v>
      </c>
      <c r="O57" s="33"/>
      <c r="P57" s="114"/>
      <c r="Q57" s="117"/>
      <c r="R57" s="116"/>
      <c r="S57" s="115"/>
      <c r="T57" s="113">
        <v>845</v>
      </c>
      <c r="U57" s="32">
        <v>845</v>
      </c>
    </row>
    <row r="58" spans="2:21" x14ac:dyDescent="0.35">
      <c r="B58" s="114"/>
      <c r="C58" s="117"/>
      <c r="D58" s="116"/>
      <c r="E58" s="115"/>
      <c r="F58" s="113"/>
      <c r="G58" s="32">
        <v>184</v>
      </c>
      <c r="H58" s="33"/>
      <c r="I58" s="114"/>
      <c r="J58" s="117"/>
      <c r="K58" s="116"/>
      <c r="L58" s="115"/>
      <c r="M58" s="113"/>
      <c r="N58" s="32">
        <v>397</v>
      </c>
      <c r="O58" s="33"/>
      <c r="P58" s="114"/>
      <c r="Q58" s="117"/>
      <c r="R58" s="116"/>
      <c r="S58" s="115"/>
      <c r="T58" s="113"/>
      <c r="U58" s="32">
        <v>856</v>
      </c>
    </row>
    <row r="59" spans="2:21" x14ac:dyDescent="0.35">
      <c r="B59" s="114"/>
      <c r="C59" s="117"/>
      <c r="D59" s="116"/>
      <c r="E59" s="115">
        <v>187</v>
      </c>
      <c r="F59" s="113">
        <v>187</v>
      </c>
      <c r="G59" s="32">
        <v>187</v>
      </c>
      <c r="H59" s="33"/>
      <c r="I59" s="114"/>
      <c r="J59" s="117"/>
      <c r="K59" s="116"/>
      <c r="L59" s="115">
        <v>402</v>
      </c>
      <c r="M59" s="113">
        <v>402</v>
      </c>
      <c r="N59" s="32">
        <v>402</v>
      </c>
      <c r="O59" s="33"/>
      <c r="P59" s="114"/>
      <c r="Q59" s="117"/>
      <c r="R59" s="116"/>
      <c r="S59" s="115">
        <v>866</v>
      </c>
      <c r="T59" s="113">
        <v>866</v>
      </c>
      <c r="U59" s="32">
        <v>866</v>
      </c>
    </row>
    <row r="60" spans="2:21" x14ac:dyDescent="0.35">
      <c r="B60" s="114"/>
      <c r="C60" s="117"/>
      <c r="D60" s="116"/>
      <c r="E60" s="115"/>
      <c r="F60" s="113"/>
      <c r="G60" s="32">
        <v>189</v>
      </c>
      <c r="H60" s="33"/>
      <c r="I60" s="114"/>
      <c r="J60" s="117"/>
      <c r="K60" s="116"/>
      <c r="L60" s="115"/>
      <c r="M60" s="113"/>
      <c r="N60" s="32">
        <v>407</v>
      </c>
      <c r="O60" s="33"/>
      <c r="P60" s="114"/>
      <c r="Q60" s="117"/>
      <c r="R60" s="116"/>
      <c r="S60" s="115"/>
      <c r="T60" s="113"/>
      <c r="U60" s="32">
        <v>876</v>
      </c>
    </row>
    <row r="61" spans="2:21" x14ac:dyDescent="0.35">
      <c r="B61" s="114"/>
      <c r="C61" s="117"/>
      <c r="D61" s="116"/>
      <c r="E61" s="115"/>
      <c r="F61" s="113">
        <v>191</v>
      </c>
      <c r="G61" s="32">
        <v>191</v>
      </c>
      <c r="H61" s="33"/>
      <c r="I61" s="114"/>
      <c r="J61" s="117"/>
      <c r="K61" s="116"/>
      <c r="L61" s="115"/>
      <c r="M61" s="113">
        <v>412</v>
      </c>
      <c r="N61" s="32">
        <v>412</v>
      </c>
      <c r="O61" s="33"/>
      <c r="P61" s="114"/>
      <c r="Q61" s="117"/>
      <c r="R61" s="116"/>
      <c r="S61" s="115"/>
      <c r="T61" s="113">
        <v>887</v>
      </c>
      <c r="U61" s="32">
        <v>887</v>
      </c>
    </row>
    <row r="62" spans="2:21" x14ac:dyDescent="0.35">
      <c r="B62" s="114"/>
      <c r="C62" s="117"/>
      <c r="D62" s="116"/>
      <c r="E62" s="115"/>
      <c r="F62" s="113"/>
      <c r="G62" s="32">
        <v>193</v>
      </c>
      <c r="H62" s="33"/>
      <c r="I62" s="114"/>
      <c r="J62" s="117"/>
      <c r="K62" s="116"/>
      <c r="L62" s="115"/>
      <c r="M62" s="113"/>
      <c r="N62" s="32">
        <v>417</v>
      </c>
      <c r="O62" s="33"/>
      <c r="P62" s="114"/>
      <c r="Q62" s="117"/>
      <c r="R62" s="116"/>
      <c r="S62" s="115"/>
      <c r="T62" s="113"/>
      <c r="U62" s="32">
        <v>898</v>
      </c>
    </row>
    <row r="63" spans="2:21" x14ac:dyDescent="0.35">
      <c r="B63" s="114"/>
      <c r="C63" s="117"/>
      <c r="D63" s="116">
        <v>200</v>
      </c>
      <c r="E63" s="115">
        <v>196</v>
      </c>
      <c r="F63" s="113">
        <v>196</v>
      </c>
      <c r="G63" s="32">
        <v>196</v>
      </c>
      <c r="H63" s="33"/>
      <c r="I63" s="114"/>
      <c r="J63" s="117"/>
      <c r="K63" s="116">
        <v>430</v>
      </c>
      <c r="L63" s="115">
        <v>422</v>
      </c>
      <c r="M63" s="113">
        <v>422</v>
      </c>
      <c r="N63" s="32">
        <v>422</v>
      </c>
      <c r="O63" s="33"/>
      <c r="P63" s="114"/>
      <c r="Q63" s="117"/>
      <c r="R63" s="116">
        <v>910</v>
      </c>
      <c r="S63" s="115">
        <v>909</v>
      </c>
      <c r="T63" s="113">
        <v>909</v>
      </c>
      <c r="U63" s="32">
        <v>909</v>
      </c>
    </row>
    <row r="64" spans="2:21" x14ac:dyDescent="0.35">
      <c r="B64" s="114"/>
      <c r="C64" s="117"/>
      <c r="D64" s="116"/>
      <c r="E64" s="115"/>
      <c r="F64" s="113"/>
      <c r="G64" s="32">
        <v>198</v>
      </c>
      <c r="H64" s="33"/>
      <c r="I64" s="114"/>
      <c r="J64" s="117"/>
      <c r="K64" s="116"/>
      <c r="L64" s="115"/>
      <c r="M64" s="113"/>
      <c r="N64" s="32">
        <v>427</v>
      </c>
      <c r="O64" s="33"/>
      <c r="P64" s="114"/>
      <c r="Q64" s="117"/>
      <c r="R64" s="116"/>
      <c r="S64" s="115"/>
      <c r="T64" s="113"/>
      <c r="U64" s="32">
        <v>920</v>
      </c>
    </row>
    <row r="65" spans="2:21" x14ac:dyDescent="0.35">
      <c r="B65" s="114"/>
      <c r="C65" s="117"/>
      <c r="D65" s="116"/>
      <c r="E65" s="115"/>
      <c r="F65" s="113">
        <v>200</v>
      </c>
      <c r="G65" s="32">
        <v>200</v>
      </c>
      <c r="H65" s="33"/>
      <c r="I65" s="114"/>
      <c r="J65" s="117"/>
      <c r="K65" s="116"/>
      <c r="L65" s="115"/>
      <c r="M65" s="113">
        <v>432</v>
      </c>
      <c r="N65" s="32">
        <v>432</v>
      </c>
      <c r="O65" s="33"/>
      <c r="P65" s="114"/>
      <c r="Q65" s="117"/>
      <c r="R65" s="116"/>
      <c r="S65" s="115"/>
      <c r="T65" s="113">
        <v>931</v>
      </c>
      <c r="U65" s="32">
        <v>931</v>
      </c>
    </row>
    <row r="66" spans="2:21" x14ac:dyDescent="0.35">
      <c r="B66" s="114"/>
      <c r="C66" s="117"/>
      <c r="D66" s="116"/>
      <c r="E66" s="115"/>
      <c r="F66" s="113"/>
      <c r="G66" s="32">
        <v>203</v>
      </c>
      <c r="H66" s="33"/>
      <c r="I66" s="114"/>
      <c r="J66" s="117"/>
      <c r="K66" s="116"/>
      <c r="L66" s="115"/>
      <c r="M66" s="113"/>
      <c r="N66" s="32">
        <v>437</v>
      </c>
      <c r="O66" s="33"/>
      <c r="P66" s="114"/>
      <c r="Q66" s="117"/>
      <c r="R66" s="116"/>
      <c r="S66" s="115"/>
      <c r="T66" s="113"/>
      <c r="U66" s="32">
        <v>942</v>
      </c>
    </row>
    <row r="67" spans="2:21" x14ac:dyDescent="0.35">
      <c r="B67" s="114"/>
      <c r="C67" s="117"/>
      <c r="D67" s="116"/>
      <c r="E67" s="115">
        <v>205</v>
      </c>
      <c r="F67" s="113">
        <v>205</v>
      </c>
      <c r="G67" s="32">
        <v>205</v>
      </c>
      <c r="H67" s="33"/>
      <c r="I67" s="114"/>
      <c r="J67" s="117"/>
      <c r="K67" s="116"/>
      <c r="L67" s="115">
        <v>442</v>
      </c>
      <c r="M67" s="113">
        <v>442</v>
      </c>
      <c r="N67" s="32">
        <v>442</v>
      </c>
      <c r="O67" s="33"/>
      <c r="P67" s="114"/>
      <c r="Q67" s="117"/>
      <c r="R67" s="116"/>
      <c r="S67" s="115">
        <v>953</v>
      </c>
      <c r="T67" s="113">
        <v>953</v>
      </c>
      <c r="U67" s="32">
        <v>953</v>
      </c>
    </row>
    <row r="68" spans="2:21" x14ac:dyDescent="0.35">
      <c r="B68" s="114"/>
      <c r="C68" s="117"/>
      <c r="D68" s="116"/>
      <c r="E68" s="115"/>
      <c r="F68" s="113"/>
      <c r="G68" s="32">
        <v>208</v>
      </c>
      <c r="H68" s="33"/>
      <c r="I68" s="114"/>
      <c r="J68" s="117"/>
      <c r="K68" s="116"/>
      <c r="L68" s="115"/>
      <c r="M68" s="113"/>
      <c r="N68" s="32">
        <v>448</v>
      </c>
      <c r="O68" s="33"/>
      <c r="P68" s="114"/>
      <c r="Q68" s="117"/>
      <c r="R68" s="116"/>
      <c r="S68" s="115"/>
      <c r="T68" s="113"/>
      <c r="U68" s="32">
        <v>965</v>
      </c>
    </row>
    <row r="69" spans="2:21" x14ac:dyDescent="0.35">
      <c r="B69" s="114"/>
      <c r="C69" s="117"/>
      <c r="D69" s="116"/>
      <c r="E69" s="115"/>
      <c r="F69" s="113">
        <v>210</v>
      </c>
      <c r="G69" s="32">
        <v>210</v>
      </c>
      <c r="H69" s="33"/>
      <c r="I69" s="114"/>
      <c r="J69" s="117"/>
      <c r="K69" s="116"/>
      <c r="L69" s="115"/>
      <c r="M69" s="113">
        <v>453</v>
      </c>
      <c r="N69" s="32">
        <v>453</v>
      </c>
      <c r="O69" s="33"/>
      <c r="P69" s="114"/>
      <c r="Q69" s="117"/>
      <c r="R69" s="116"/>
      <c r="S69" s="115"/>
      <c r="T69" s="113">
        <v>976</v>
      </c>
      <c r="U69" s="32">
        <v>976</v>
      </c>
    </row>
    <row r="70" spans="2:21" x14ac:dyDescent="0.35">
      <c r="B70" s="114"/>
      <c r="C70" s="117"/>
      <c r="D70" s="116"/>
      <c r="E70" s="115"/>
      <c r="F70" s="113"/>
      <c r="G70" s="32">
        <v>213</v>
      </c>
      <c r="H70" s="33"/>
      <c r="I70" s="114"/>
      <c r="J70" s="117"/>
      <c r="K70" s="116"/>
      <c r="L70" s="115"/>
      <c r="M70" s="113"/>
      <c r="N70" s="32">
        <v>459</v>
      </c>
      <c r="O70" s="33"/>
      <c r="P70" s="114"/>
      <c r="Q70" s="117"/>
      <c r="R70" s="116"/>
      <c r="S70" s="115"/>
      <c r="T70" s="113"/>
      <c r="U70" s="32">
        <v>988</v>
      </c>
    </row>
  </sheetData>
  <mergeCells count="186">
    <mergeCell ref="D63:D70"/>
    <mergeCell ref="E63:E66"/>
    <mergeCell ref="F63:F64"/>
    <mergeCell ref="K63:K70"/>
    <mergeCell ref="L63:L66"/>
    <mergeCell ref="M63:M64"/>
    <mergeCell ref="E67:E70"/>
    <mergeCell ref="E59:E62"/>
    <mergeCell ref="F59:F60"/>
    <mergeCell ref="L59:L62"/>
    <mergeCell ref="M59:M60"/>
    <mergeCell ref="F69:F70"/>
    <mergeCell ref="M69:M70"/>
    <mergeCell ref="F65:F66"/>
    <mergeCell ref="M65:M66"/>
    <mergeCell ref="F67:F68"/>
    <mergeCell ref="L67:L70"/>
    <mergeCell ref="M67:M68"/>
    <mergeCell ref="T61:T62"/>
    <mergeCell ref="R55:R62"/>
    <mergeCell ref="S55:S58"/>
    <mergeCell ref="T55:T56"/>
    <mergeCell ref="F57:F58"/>
    <mergeCell ref="M57:M58"/>
    <mergeCell ref="T57:T58"/>
    <mergeCell ref="L55:L58"/>
    <mergeCell ref="M55:M56"/>
    <mergeCell ref="Q55:Q70"/>
    <mergeCell ref="T67:T68"/>
    <mergeCell ref="T69:T70"/>
    <mergeCell ref="R63:R70"/>
    <mergeCell ref="S63:S66"/>
    <mergeCell ref="T63:T64"/>
    <mergeCell ref="T65:T66"/>
    <mergeCell ref="S67:S70"/>
    <mergeCell ref="C55:C70"/>
    <mergeCell ref="D55:D62"/>
    <mergeCell ref="E55:E58"/>
    <mergeCell ref="F55:F56"/>
    <mergeCell ref="J55:J70"/>
    <mergeCell ref="K55:K62"/>
    <mergeCell ref="R47:R54"/>
    <mergeCell ref="S47:S50"/>
    <mergeCell ref="T47:T48"/>
    <mergeCell ref="F49:F50"/>
    <mergeCell ref="M49:M50"/>
    <mergeCell ref="T49:T50"/>
    <mergeCell ref="F51:F52"/>
    <mergeCell ref="L51:L54"/>
    <mergeCell ref="M51:M52"/>
    <mergeCell ref="S51:S54"/>
    <mergeCell ref="D47:D54"/>
    <mergeCell ref="E47:E50"/>
    <mergeCell ref="F47:F48"/>
    <mergeCell ref="K47:K54"/>
    <mergeCell ref="S59:S62"/>
    <mergeCell ref="T59:T60"/>
    <mergeCell ref="F61:F62"/>
    <mergeCell ref="M61:M62"/>
    <mergeCell ref="F43:F44"/>
    <mergeCell ref="L43:L46"/>
    <mergeCell ref="M43:M44"/>
    <mergeCell ref="S43:S46"/>
    <mergeCell ref="T43:T44"/>
    <mergeCell ref="F45:F46"/>
    <mergeCell ref="M45:M46"/>
    <mergeCell ref="T45:T46"/>
    <mergeCell ref="R39:R46"/>
    <mergeCell ref="S39:S42"/>
    <mergeCell ref="T39:T40"/>
    <mergeCell ref="F41:F42"/>
    <mergeCell ref="M41:M42"/>
    <mergeCell ref="T41:T42"/>
    <mergeCell ref="J39:J54"/>
    <mergeCell ref="K39:K46"/>
    <mergeCell ref="L39:L42"/>
    <mergeCell ref="M39:M40"/>
    <mergeCell ref="P39:P70"/>
    <mergeCell ref="Q39:Q54"/>
    <mergeCell ref="T51:T52"/>
    <mergeCell ref="F53:F54"/>
    <mergeCell ref="M53:M54"/>
    <mergeCell ref="T53:T54"/>
    <mergeCell ref="B39:B70"/>
    <mergeCell ref="C39:C54"/>
    <mergeCell ref="D39:D46"/>
    <mergeCell ref="E39:E42"/>
    <mergeCell ref="F39:F40"/>
    <mergeCell ref="I39:I70"/>
    <mergeCell ref="R31:R38"/>
    <mergeCell ref="S31:S34"/>
    <mergeCell ref="T31:T32"/>
    <mergeCell ref="F33:F34"/>
    <mergeCell ref="M33:M34"/>
    <mergeCell ref="T33:T34"/>
    <mergeCell ref="F35:F36"/>
    <mergeCell ref="L35:L38"/>
    <mergeCell ref="M35:M36"/>
    <mergeCell ref="S35:S38"/>
    <mergeCell ref="B7:B38"/>
    <mergeCell ref="C7:C22"/>
    <mergeCell ref="D7:D14"/>
    <mergeCell ref="E7:E10"/>
    <mergeCell ref="L47:L50"/>
    <mergeCell ref="M47:M48"/>
    <mergeCell ref="E51:E54"/>
    <mergeCell ref="E43:E46"/>
    <mergeCell ref="D31:D38"/>
    <mergeCell ref="E31:E34"/>
    <mergeCell ref="F31:F32"/>
    <mergeCell ref="K31:K38"/>
    <mergeCell ref="L31:L34"/>
    <mergeCell ref="M31:M32"/>
    <mergeCell ref="R23:R30"/>
    <mergeCell ref="S23:S26"/>
    <mergeCell ref="T23:T24"/>
    <mergeCell ref="F25:F26"/>
    <mergeCell ref="M25:M26"/>
    <mergeCell ref="T25:T26"/>
    <mergeCell ref="F27:F28"/>
    <mergeCell ref="L27:L30"/>
    <mergeCell ref="M27:M28"/>
    <mergeCell ref="S27:S30"/>
    <mergeCell ref="Q23:Q38"/>
    <mergeCell ref="T35:T36"/>
    <mergeCell ref="F37:F38"/>
    <mergeCell ref="M37:M38"/>
    <mergeCell ref="T37:T38"/>
    <mergeCell ref="C23:C38"/>
    <mergeCell ref="D23:D30"/>
    <mergeCell ref="E23:E26"/>
    <mergeCell ref="F23:F24"/>
    <mergeCell ref="J23:J38"/>
    <mergeCell ref="K23:K30"/>
    <mergeCell ref="R15:R22"/>
    <mergeCell ref="S15:S18"/>
    <mergeCell ref="T15:T16"/>
    <mergeCell ref="F17:F18"/>
    <mergeCell ref="M17:M18"/>
    <mergeCell ref="T17:T18"/>
    <mergeCell ref="F19:F20"/>
    <mergeCell ref="L19:L22"/>
    <mergeCell ref="M19:M20"/>
    <mergeCell ref="S19:S22"/>
    <mergeCell ref="P7:P38"/>
    <mergeCell ref="Q7:Q22"/>
    <mergeCell ref="L23:L26"/>
    <mergeCell ref="M23:M24"/>
    <mergeCell ref="T27:T28"/>
    <mergeCell ref="F29:F30"/>
    <mergeCell ref="M29:M30"/>
    <mergeCell ref="T29:T30"/>
    <mergeCell ref="D15:D22"/>
    <mergeCell ref="E15:E18"/>
    <mergeCell ref="F15:F16"/>
    <mergeCell ref="K15:K22"/>
    <mergeCell ref="L15:L18"/>
    <mergeCell ref="M15:M16"/>
    <mergeCell ref="R7:R14"/>
    <mergeCell ref="S7:S10"/>
    <mergeCell ref="T7:T8"/>
    <mergeCell ref="F9:F10"/>
    <mergeCell ref="M9:M10"/>
    <mergeCell ref="T9:T10"/>
    <mergeCell ref="F11:F12"/>
    <mergeCell ref="L11:L14"/>
    <mergeCell ref="M11:M12"/>
    <mergeCell ref="S11:S14"/>
    <mergeCell ref="J7:J22"/>
    <mergeCell ref="K7:K14"/>
    <mergeCell ref="L7:L10"/>
    <mergeCell ref="M7:M8"/>
    <mergeCell ref="T19:T20"/>
    <mergeCell ref="F21:F22"/>
    <mergeCell ref="M21:M22"/>
    <mergeCell ref="T21:T22"/>
    <mergeCell ref="F7:F8"/>
    <mergeCell ref="I7:I38"/>
    <mergeCell ref="E11:E14"/>
    <mergeCell ref="E19:E22"/>
    <mergeCell ref="E27:E30"/>
    <mergeCell ref="E35:E38"/>
    <mergeCell ref="T11:T12"/>
    <mergeCell ref="F13:F14"/>
    <mergeCell ref="M13:M14"/>
    <mergeCell ref="T13:T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F34F5-C4D2-47CA-838B-487F790B4DFD}">
  <dimension ref="A1:A289"/>
  <sheetViews>
    <sheetView workbookViewId="0"/>
  </sheetViews>
  <sheetFormatPr defaultRowHeight="14.5" x14ac:dyDescent="0.35"/>
  <sheetData>
    <row r="1" spans="1:1" x14ac:dyDescent="0.35">
      <c r="A1" t="s">
        <v>44</v>
      </c>
    </row>
    <row r="2" spans="1:1" x14ac:dyDescent="0.35">
      <c r="A2">
        <v>1</v>
      </c>
    </row>
    <row r="3" spans="1:1" x14ac:dyDescent="0.35">
      <c r="A3">
        <v>1.02</v>
      </c>
    </row>
    <row r="4" spans="1:1" x14ac:dyDescent="0.35">
      <c r="A4">
        <v>1.05</v>
      </c>
    </row>
    <row r="5" spans="1:1" x14ac:dyDescent="0.35">
      <c r="A5">
        <v>1.0699999999999998</v>
      </c>
    </row>
    <row r="6" spans="1:1" x14ac:dyDescent="0.35">
      <c r="A6">
        <v>1.1000000000000001</v>
      </c>
    </row>
    <row r="7" spans="1:1" x14ac:dyDescent="0.35">
      <c r="A7">
        <v>1.1300000000000001</v>
      </c>
    </row>
    <row r="8" spans="1:1" x14ac:dyDescent="0.35">
      <c r="A8">
        <v>1.1499999999999999</v>
      </c>
    </row>
    <row r="9" spans="1:1" x14ac:dyDescent="0.35">
      <c r="A9">
        <v>1.1800000000000002</v>
      </c>
    </row>
    <row r="10" spans="1:1" x14ac:dyDescent="0.35">
      <c r="A10">
        <v>1.21</v>
      </c>
    </row>
    <row r="11" spans="1:1" x14ac:dyDescent="0.35">
      <c r="A11">
        <v>1.24</v>
      </c>
    </row>
    <row r="12" spans="1:1" x14ac:dyDescent="0.35">
      <c r="A12">
        <v>1.27</v>
      </c>
    </row>
    <row r="13" spans="1:1" x14ac:dyDescent="0.35">
      <c r="A13">
        <v>1.3</v>
      </c>
    </row>
    <row r="14" spans="1:1" x14ac:dyDescent="0.35">
      <c r="A14">
        <v>1.33</v>
      </c>
    </row>
    <row r="15" spans="1:1" x14ac:dyDescent="0.35">
      <c r="A15">
        <v>1.3699999999999999</v>
      </c>
    </row>
    <row r="16" spans="1:1" x14ac:dyDescent="0.35">
      <c r="A16">
        <v>1.4</v>
      </c>
    </row>
    <row r="17" spans="1:1" x14ac:dyDescent="0.35">
      <c r="A17">
        <v>1.4300000000000002</v>
      </c>
    </row>
    <row r="18" spans="1:1" x14ac:dyDescent="0.35">
      <c r="A18">
        <v>1.47</v>
      </c>
    </row>
    <row r="19" spans="1:1" x14ac:dyDescent="0.35">
      <c r="A19">
        <v>1.5</v>
      </c>
    </row>
    <row r="20" spans="1:1" x14ac:dyDescent="0.35">
      <c r="A20">
        <v>1.54</v>
      </c>
    </row>
    <row r="21" spans="1:1" x14ac:dyDescent="0.35">
      <c r="A21">
        <v>1.58</v>
      </c>
    </row>
    <row r="22" spans="1:1" x14ac:dyDescent="0.35">
      <c r="A22">
        <v>1.6199999999999999</v>
      </c>
    </row>
    <row r="23" spans="1:1" x14ac:dyDescent="0.35">
      <c r="A23">
        <v>1.65</v>
      </c>
    </row>
    <row r="24" spans="1:1" x14ac:dyDescent="0.35">
      <c r="A24">
        <v>1.69</v>
      </c>
    </row>
    <row r="25" spans="1:1" x14ac:dyDescent="0.35">
      <c r="A25">
        <v>1.7399999999999998</v>
      </c>
    </row>
    <row r="26" spans="1:1" x14ac:dyDescent="0.35">
      <c r="A26">
        <v>1.78</v>
      </c>
    </row>
    <row r="27" spans="1:1" x14ac:dyDescent="0.35">
      <c r="A27">
        <v>1.8199999999999998</v>
      </c>
    </row>
    <row r="28" spans="1:1" x14ac:dyDescent="0.35">
      <c r="A28">
        <v>1.8699999999999999</v>
      </c>
    </row>
    <row r="29" spans="1:1" x14ac:dyDescent="0.35">
      <c r="A29">
        <v>1.9100000000000001</v>
      </c>
    </row>
    <row r="30" spans="1:1" x14ac:dyDescent="0.35">
      <c r="A30">
        <v>1.9600000000000002</v>
      </c>
    </row>
    <row r="31" spans="1:1" x14ac:dyDescent="0.35">
      <c r="A31">
        <v>2</v>
      </c>
    </row>
    <row r="32" spans="1:1" x14ac:dyDescent="0.35">
      <c r="A32">
        <v>2.0499999999999998</v>
      </c>
    </row>
    <row r="33" spans="1:1" x14ac:dyDescent="0.35">
      <c r="A33">
        <v>2.1</v>
      </c>
    </row>
    <row r="34" spans="1:1" x14ac:dyDescent="0.35">
      <c r="A34">
        <v>2.15</v>
      </c>
    </row>
    <row r="35" spans="1:1" x14ac:dyDescent="0.35">
      <c r="A35">
        <v>2.21</v>
      </c>
    </row>
    <row r="36" spans="1:1" x14ac:dyDescent="0.35">
      <c r="A36">
        <v>2.2600000000000002</v>
      </c>
    </row>
    <row r="37" spans="1:1" x14ac:dyDescent="0.35">
      <c r="A37">
        <v>2.3199999999999998</v>
      </c>
    </row>
    <row r="38" spans="1:1" x14ac:dyDescent="0.35">
      <c r="A38">
        <v>2.37</v>
      </c>
    </row>
    <row r="39" spans="1:1" x14ac:dyDescent="0.35">
      <c r="A39">
        <v>2.4300000000000002</v>
      </c>
    </row>
    <row r="40" spans="1:1" x14ac:dyDescent="0.35">
      <c r="A40">
        <v>2.4899999999999998</v>
      </c>
    </row>
    <row r="41" spans="1:1" x14ac:dyDescent="0.35">
      <c r="A41">
        <v>2.5499999999999998</v>
      </c>
    </row>
    <row r="42" spans="1:1" x14ac:dyDescent="0.35">
      <c r="A42">
        <v>2.6100000000000003</v>
      </c>
    </row>
    <row r="43" spans="1:1" x14ac:dyDescent="0.35">
      <c r="A43">
        <v>2.67</v>
      </c>
    </row>
    <row r="44" spans="1:1" x14ac:dyDescent="0.35">
      <c r="A44">
        <v>2.7399999999999998</v>
      </c>
    </row>
    <row r="45" spans="1:1" x14ac:dyDescent="0.35">
      <c r="A45">
        <v>2.8</v>
      </c>
    </row>
    <row r="46" spans="1:1" x14ac:dyDescent="0.35">
      <c r="A46">
        <v>2.87</v>
      </c>
    </row>
    <row r="47" spans="1:1" x14ac:dyDescent="0.35">
      <c r="A47">
        <v>2.94</v>
      </c>
    </row>
    <row r="48" spans="1:1" x14ac:dyDescent="0.35">
      <c r="A48">
        <v>3.0100000000000002</v>
      </c>
    </row>
    <row r="49" spans="1:1" x14ac:dyDescent="0.35">
      <c r="A49">
        <v>3.09</v>
      </c>
    </row>
    <row r="50" spans="1:1" x14ac:dyDescent="0.35">
      <c r="A50">
        <v>3.16</v>
      </c>
    </row>
    <row r="51" spans="1:1" x14ac:dyDescent="0.35">
      <c r="A51">
        <v>3.2399999999999998</v>
      </c>
    </row>
    <row r="52" spans="1:1" x14ac:dyDescent="0.35">
      <c r="A52">
        <v>3.3200000000000003</v>
      </c>
    </row>
    <row r="53" spans="1:1" x14ac:dyDescent="0.35">
      <c r="A53">
        <v>3.4</v>
      </c>
    </row>
    <row r="54" spans="1:1" x14ac:dyDescent="0.35">
      <c r="A54">
        <v>3.4799999999999995</v>
      </c>
    </row>
    <row r="55" spans="1:1" x14ac:dyDescent="0.35">
      <c r="A55">
        <v>3.5700000000000003</v>
      </c>
    </row>
    <row r="56" spans="1:1" x14ac:dyDescent="0.35">
      <c r="A56">
        <v>3.65</v>
      </c>
    </row>
    <row r="57" spans="1:1" x14ac:dyDescent="0.35">
      <c r="A57">
        <v>3.7399999999999998</v>
      </c>
    </row>
    <row r="58" spans="1:1" x14ac:dyDescent="0.35">
      <c r="A58">
        <v>3.8299999999999996</v>
      </c>
    </row>
    <row r="59" spans="1:1" x14ac:dyDescent="0.35">
      <c r="A59">
        <v>3.9200000000000004</v>
      </c>
    </row>
    <row r="60" spans="1:1" x14ac:dyDescent="0.35">
      <c r="A60">
        <v>4.0200000000000005</v>
      </c>
    </row>
    <row r="61" spans="1:1" x14ac:dyDescent="0.35">
      <c r="A61">
        <v>4.12</v>
      </c>
    </row>
    <row r="62" spans="1:1" x14ac:dyDescent="0.35">
      <c r="A62">
        <v>4.2200000000000006</v>
      </c>
    </row>
    <row r="63" spans="1:1" x14ac:dyDescent="0.35">
      <c r="A63">
        <v>4.32</v>
      </c>
    </row>
    <row r="64" spans="1:1" x14ac:dyDescent="0.35">
      <c r="A64">
        <v>4.42</v>
      </c>
    </row>
    <row r="65" spans="1:1" x14ac:dyDescent="0.35">
      <c r="A65">
        <v>4.5299999999999994</v>
      </c>
    </row>
    <row r="66" spans="1:1" x14ac:dyDescent="0.35">
      <c r="A66">
        <v>4.6399999999999997</v>
      </c>
    </row>
    <row r="67" spans="1:1" x14ac:dyDescent="0.35">
      <c r="A67">
        <v>4.75</v>
      </c>
    </row>
    <row r="68" spans="1:1" x14ac:dyDescent="0.35">
      <c r="A68">
        <v>4.87</v>
      </c>
    </row>
    <row r="69" spans="1:1" x14ac:dyDescent="0.35">
      <c r="A69">
        <v>4.99</v>
      </c>
    </row>
    <row r="70" spans="1:1" x14ac:dyDescent="0.35">
      <c r="A70">
        <v>5.1100000000000003</v>
      </c>
    </row>
    <row r="71" spans="1:1" x14ac:dyDescent="0.35">
      <c r="A71">
        <v>5.2299999999999995</v>
      </c>
    </row>
    <row r="72" spans="1:1" x14ac:dyDescent="0.35">
      <c r="A72">
        <v>5.36</v>
      </c>
    </row>
    <row r="73" spans="1:1" x14ac:dyDescent="0.35">
      <c r="A73">
        <v>5.49</v>
      </c>
    </row>
    <row r="74" spans="1:1" x14ac:dyDescent="0.35">
      <c r="A74">
        <v>5.62</v>
      </c>
    </row>
    <row r="75" spans="1:1" x14ac:dyDescent="0.35">
      <c r="A75">
        <v>5.76</v>
      </c>
    </row>
    <row r="76" spans="1:1" x14ac:dyDescent="0.35">
      <c r="A76">
        <v>5.9</v>
      </c>
    </row>
    <row r="77" spans="1:1" x14ac:dyDescent="0.35">
      <c r="A77">
        <v>6.04</v>
      </c>
    </row>
    <row r="78" spans="1:1" x14ac:dyDescent="0.35">
      <c r="A78">
        <v>6.1899999999999995</v>
      </c>
    </row>
    <row r="79" spans="1:1" x14ac:dyDescent="0.35">
      <c r="A79">
        <v>6.34</v>
      </c>
    </row>
    <row r="80" spans="1:1" x14ac:dyDescent="0.35">
      <c r="A80">
        <v>6.49</v>
      </c>
    </row>
    <row r="81" spans="1:1" x14ac:dyDescent="0.35">
      <c r="A81">
        <v>6.65</v>
      </c>
    </row>
    <row r="82" spans="1:1" x14ac:dyDescent="0.35">
      <c r="A82">
        <v>6.81</v>
      </c>
    </row>
    <row r="83" spans="1:1" x14ac:dyDescent="0.35">
      <c r="A83">
        <v>6.9799999999999995</v>
      </c>
    </row>
    <row r="84" spans="1:1" x14ac:dyDescent="0.35">
      <c r="A84">
        <v>7.15</v>
      </c>
    </row>
    <row r="85" spans="1:1" x14ac:dyDescent="0.35">
      <c r="A85">
        <v>7.32</v>
      </c>
    </row>
    <row r="86" spans="1:1" x14ac:dyDescent="0.35">
      <c r="A86">
        <v>7.5</v>
      </c>
    </row>
    <row r="87" spans="1:1" x14ac:dyDescent="0.35">
      <c r="A87">
        <v>7.68</v>
      </c>
    </row>
    <row r="88" spans="1:1" x14ac:dyDescent="0.35">
      <c r="A88">
        <v>7.87</v>
      </c>
    </row>
    <row r="89" spans="1:1" x14ac:dyDescent="0.35">
      <c r="A89">
        <v>8.0599999999999987</v>
      </c>
    </row>
    <row r="90" spans="1:1" x14ac:dyDescent="0.35">
      <c r="A90">
        <v>8.25</v>
      </c>
    </row>
    <row r="91" spans="1:1" x14ac:dyDescent="0.35">
      <c r="A91">
        <v>8.4499999999999993</v>
      </c>
    </row>
    <row r="92" spans="1:1" x14ac:dyDescent="0.35">
      <c r="A92">
        <v>8.66</v>
      </c>
    </row>
    <row r="93" spans="1:1" x14ac:dyDescent="0.35">
      <c r="A93">
        <v>8.870000000000001</v>
      </c>
    </row>
    <row r="94" spans="1:1" x14ac:dyDescent="0.35">
      <c r="A94">
        <v>9.09</v>
      </c>
    </row>
    <row r="95" spans="1:1" x14ac:dyDescent="0.35">
      <c r="A95">
        <v>9.3099999999999987</v>
      </c>
    </row>
    <row r="96" spans="1:1" x14ac:dyDescent="0.35">
      <c r="A96">
        <v>9.5299999999999994</v>
      </c>
    </row>
    <row r="97" spans="1:1" x14ac:dyDescent="0.35">
      <c r="A97">
        <v>9.76</v>
      </c>
    </row>
    <row r="98" spans="1:1" x14ac:dyDescent="0.35">
      <c r="A98">
        <v>10</v>
      </c>
    </row>
    <row r="99" spans="1:1" x14ac:dyDescent="0.35">
      <c r="A99">
        <v>10.199999999999999</v>
      </c>
    </row>
    <row r="100" spans="1:1" x14ac:dyDescent="0.35">
      <c r="A100">
        <v>10.5</v>
      </c>
    </row>
    <row r="101" spans="1:1" x14ac:dyDescent="0.35">
      <c r="A101">
        <v>10.7</v>
      </c>
    </row>
    <row r="102" spans="1:1" x14ac:dyDescent="0.35">
      <c r="A102">
        <v>11</v>
      </c>
    </row>
    <row r="103" spans="1:1" x14ac:dyDescent="0.35">
      <c r="A103">
        <v>11.3</v>
      </c>
    </row>
    <row r="104" spans="1:1" x14ac:dyDescent="0.35">
      <c r="A104">
        <v>11.5</v>
      </c>
    </row>
    <row r="105" spans="1:1" x14ac:dyDescent="0.35">
      <c r="A105">
        <v>11.8</v>
      </c>
    </row>
    <row r="106" spans="1:1" x14ac:dyDescent="0.35">
      <c r="A106">
        <v>12.1</v>
      </c>
    </row>
    <row r="107" spans="1:1" x14ac:dyDescent="0.35">
      <c r="A107">
        <v>12.4</v>
      </c>
    </row>
    <row r="108" spans="1:1" x14ac:dyDescent="0.35">
      <c r="A108">
        <v>12.7</v>
      </c>
    </row>
    <row r="109" spans="1:1" x14ac:dyDescent="0.35">
      <c r="A109">
        <v>13</v>
      </c>
    </row>
    <row r="110" spans="1:1" x14ac:dyDescent="0.35">
      <c r="A110">
        <v>13.3</v>
      </c>
    </row>
    <row r="111" spans="1:1" x14ac:dyDescent="0.35">
      <c r="A111">
        <v>13.7</v>
      </c>
    </row>
    <row r="112" spans="1:1" x14ac:dyDescent="0.35">
      <c r="A112">
        <v>14</v>
      </c>
    </row>
    <row r="113" spans="1:1" x14ac:dyDescent="0.35">
      <c r="A113">
        <v>14.3</v>
      </c>
    </row>
    <row r="114" spans="1:1" x14ac:dyDescent="0.35">
      <c r="A114">
        <v>14.7</v>
      </c>
    </row>
    <row r="115" spans="1:1" x14ac:dyDescent="0.35">
      <c r="A115">
        <v>15</v>
      </c>
    </row>
    <row r="116" spans="1:1" x14ac:dyDescent="0.35">
      <c r="A116">
        <v>15.4</v>
      </c>
    </row>
    <row r="117" spans="1:1" x14ac:dyDescent="0.35">
      <c r="A117">
        <v>15.8</v>
      </c>
    </row>
    <row r="118" spans="1:1" x14ac:dyDescent="0.35">
      <c r="A118">
        <v>16.2</v>
      </c>
    </row>
    <row r="119" spans="1:1" x14ac:dyDescent="0.35">
      <c r="A119">
        <v>16.5</v>
      </c>
    </row>
    <row r="120" spans="1:1" x14ac:dyDescent="0.35">
      <c r="A120">
        <v>16.899999999999999</v>
      </c>
    </row>
    <row r="121" spans="1:1" x14ac:dyDescent="0.35">
      <c r="A121">
        <v>17.399999999999999</v>
      </c>
    </row>
    <row r="122" spans="1:1" x14ac:dyDescent="0.35">
      <c r="A122">
        <v>17.8</v>
      </c>
    </row>
    <row r="123" spans="1:1" x14ac:dyDescent="0.35">
      <c r="A123">
        <v>18.2</v>
      </c>
    </row>
    <row r="124" spans="1:1" x14ac:dyDescent="0.35">
      <c r="A124">
        <v>18.7</v>
      </c>
    </row>
    <row r="125" spans="1:1" x14ac:dyDescent="0.35">
      <c r="A125">
        <v>19.100000000000001</v>
      </c>
    </row>
    <row r="126" spans="1:1" x14ac:dyDescent="0.35">
      <c r="A126">
        <v>19.600000000000001</v>
      </c>
    </row>
    <row r="127" spans="1:1" x14ac:dyDescent="0.35">
      <c r="A127">
        <v>20</v>
      </c>
    </row>
    <row r="128" spans="1:1" x14ac:dyDescent="0.35">
      <c r="A128">
        <v>20.5</v>
      </c>
    </row>
    <row r="129" spans="1:1" x14ac:dyDescent="0.35">
      <c r="A129">
        <v>21</v>
      </c>
    </row>
    <row r="130" spans="1:1" x14ac:dyDescent="0.35">
      <c r="A130">
        <v>21.5</v>
      </c>
    </row>
    <row r="131" spans="1:1" x14ac:dyDescent="0.35">
      <c r="A131">
        <v>22.1</v>
      </c>
    </row>
    <row r="132" spans="1:1" x14ac:dyDescent="0.35">
      <c r="A132">
        <v>22.6</v>
      </c>
    </row>
    <row r="133" spans="1:1" x14ac:dyDescent="0.35">
      <c r="A133">
        <v>23.2</v>
      </c>
    </row>
    <row r="134" spans="1:1" x14ac:dyDescent="0.35">
      <c r="A134">
        <v>23.7</v>
      </c>
    </row>
    <row r="135" spans="1:1" x14ac:dyDescent="0.35">
      <c r="A135">
        <v>24.3</v>
      </c>
    </row>
    <row r="136" spans="1:1" x14ac:dyDescent="0.35">
      <c r="A136">
        <v>24.9</v>
      </c>
    </row>
    <row r="137" spans="1:1" x14ac:dyDescent="0.35">
      <c r="A137">
        <v>25.5</v>
      </c>
    </row>
    <row r="138" spans="1:1" x14ac:dyDescent="0.35">
      <c r="A138">
        <v>26.1</v>
      </c>
    </row>
    <row r="139" spans="1:1" x14ac:dyDescent="0.35">
      <c r="A139">
        <v>26.7</v>
      </c>
    </row>
    <row r="140" spans="1:1" x14ac:dyDescent="0.35">
      <c r="A140">
        <v>27.4</v>
      </c>
    </row>
    <row r="141" spans="1:1" x14ac:dyDescent="0.35">
      <c r="A141">
        <v>28</v>
      </c>
    </row>
    <row r="142" spans="1:1" x14ac:dyDescent="0.35">
      <c r="A142">
        <v>28.7</v>
      </c>
    </row>
    <row r="143" spans="1:1" x14ac:dyDescent="0.35">
      <c r="A143">
        <v>29.4</v>
      </c>
    </row>
    <row r="144" spans="1:1" x14ac:dyDescent="0.35">
      <c r="A144">
        <v>30.1</v>
      </c>
    </row>
    <row r="145" spans="1:1" x14ac:dyDescent="0.35">
      <c r="A145">
        <v>30.9</v>
      </c>
    </row>
    <row r="146" spans="1:1" x14ac:dyDescent="0.35">
      <c r="A146">
        <v>31.6</v>
      </c>
    </row>
    <row r="147" spans="1:1" x14ac:dyDescent="0.35">
      <c r="A147">
        <v>32.4</v>
      </c>
    </row>
    <row r="148" spans="1:1" x14ac:dyDescent="0.35">
      <c r="A148">
        <v>33.200000000000003</v>
      </c>
    </row>
    <row r="149" spans="1:1" x14ac:dyDescent="0.35">
      <c r="A149">
        <v>34</v>
      </c>
    </row>
    <row r="150" spans="1:1" x14ac:dyDescent="0.35">
      <c r="A150">
        <v>34.799999999999997</v>
      </c>
    </row>
    <row r="151" spans="1:1" x14ac:dyDescent="0.35">
      <c r="A151">
        <v>35.700000000000003</v>
      </c>
    </row>
    <row r="152" spans="1:1" x14ac:dyDescent="0.35">
      <c r="A152">
        <v>36.5</v>
      </c>
    </row>
    <row r="153" spans="1:1" x14ac:dyDescent="0.35">
      <c r="A153">
        <v>37.4</v>
      </c>
    </row>
    <row r="154" spans="1:1" x14ac:dyDescent="0.35">
      <c r="A154">
        <v>38.299999999999997</v>
      </c>
    </row>
    <row r="155" spans="1:1" x14ac:dyDescent="0.35">
      <c r="A155">
        <v>39.200000000000003</v>
      </c>
    </row>
    <row r="156" spans="1:1" x14ac:dyDescent="0.35">
      <c r="A156">
        <v>40.200000000000003</v>
      </c>
    </row>
    <row r="157" spans="1:1" x14ac:dyDescent="0.35">
      <c r="A157">
        <v>41.2</v>
      </c>
    </row>
    <row r="158" spans="1:1" x14ac:dyDescent="0.35">
      <c r="A158">
        <v>42.2</v>
      </c>
    </row>
    <row r="159" spans="1:1" x14ac:dyDescent="0.35">
      <c r="A159">
        <v>43.2</v>
      </c>
    </row>
    <row r="160" spans="1:1" x14ac:dyDescent="0.35">
      <c r="A160">
        <v>44.2</v>
      </c>
    </row>
    <row r="161" spans="1:1" x14ac:dyDescent="0.35">
      <c r="A161">
        <v>45.3</v>
      </c>
    </row>
    <row r="162" spans="1:1" x14ac:dyDescent="0.35">
      <c r="A162">
        <v>46.4</v>
      </c>
    </row>
    <row r="163" spans="1:1" x14ac:dyDescent="0.35">
      <c r="A163">
        <v>47.5</v>
      </c>
    </row>
    <row r="164" spans="1:1" x14ac:dyDescent="0.35">
      <c r="A164">
        <v>48.7</v>
      </c>
    </row>
    <row r="165" spans="1:1" x14ac:dyDescent="0.35">
      <c r="A165">
        <v>49.9</v>
      </c>
    </row>
    <row r="166" spans="1:1" x14ac:dyDescent="0.35">
      <c r="A166">
        <v>51.1</v>
      </c>
    </row>
    <row r="167" spans="1:1" x14ac:dyDescent="0.35">
      <c r="A167">
        <v>52.3</v>
      </c>
    </row>
    <row r="168" spans="1:1" x14ac:dyDescent="0.35">
      <c r="A168">
        <v>53.6</v>
      </c>
    </row>
    <row r="169" spans="1:1" x14ac:dyDescent="0.35">
      <c r="A169">
        <v>54.9</v>
      </c>
    </row>
    <row r="170" spans="1:1" x14ac:dyDescent="0.35">
      <c r="A170">
        <v>56.2</v>
      </c>
    </row>
    <row r="171" spans="1:1" x14ac:dyDescent="0.35">
      <c r="A171">
        <v>57.6</v>
      </c>
    </row>
    <row r="172" spans="1:1" x14ac:dyDescent="0.35">
      <c r="A172">
        <v>59</v>
      </c>
    </row>
    <row r="173" spans="1:1" x14ac:dyDescent="0.35">
      <c r="A173">
        <v>60.4</v>
      </c>
    </row>
    <row r="174" spans="1:1" x14ac:dyDescent="0.35">
      <c r="A174">
        <v>61.9</v>
      </c>
    </row>
    <row r="175" spans="1:1" x14ac:dyDescent="0.35">
      <c r="A175">
        <v>63.4</v>
      </c>
    </row>
    <row r="176" spans="1:1" x14ac:dyDescent="0.35">
      <c r="A176">
        <v>64.900000000000006</v>
      </c>
    </row>
    <row r="177" spans="1:1" x14ac:dyDescent="0.35">
      <c r="A177">
        <v>66.5</v>
      </c>
    </row>
    <row r="178" spans="1:1" x14ac:dyDescent="0.35">
      <c r="A178">
        <v>68.099999999999994</v>
      </c>
    </row>
    <row r="179" spans="1:1" x14ac:dyDescent="0.35">
      <c r="A179">
        <v>69.8</v>
      </c>
    </row>
    <row r="180" spans="1:1" x14ac:dyDescent="0.35">
      <c r="A180">
        <v>71.5</v>
      </c>
    </row>
    <row r="181" spans="1:1" x14ac:dyDescent="0.35">
      <c r="A181">
        <v>73.2</v>
      </c>
    </row>
    <row r="182" spans="1:1" x14ac:dyDescent="0.35">
      <c r="A182">
        <v>75</v>
      </c>
    </row>
    <row r="183" spans="1:1" x14ac:dyDescent="0.35">
      <c r="A183">
        <v>76.8</v>
      </c>
    </row>
    <row r="184" spans="1:1" x14ac:dyDescent="0.35">
      <c r="A184">
        <v>78.7</v>
      </c>
    </row>
    <row r="185" spans="1:1" x14ac:dyDescent="0.35">
      <c r="A185">
        <v>80.599999999999994</v>
      </c>
    </row>
    <row r="186" spans="1:1" x14ac:dyDescent="0.35">
      <c r="A186">
        <v>82.5</v>
      </c>
    </row>
    <row r="187" spans="1:1" x14ac:dyDescent="0.35">
      <c r="A187">
        <v>84.5</v>
      </c>
    </row>
    <row r="188" spans="1:1" x14ac:dyDescent="0.35">
      <c r="A188">
        <v>86.6</v>
      </c>
    </row>
    <row r="189" spans="1:1" x14ac:dyDescent="0.35">
      <c r="A189">
        <v>88.7</v>
      </c>
    </row>
    <row r="190" spans="1:1" x14ac:dyDescent="0.35">
      <c r="A190">
        <v>90.9</v>
      </c>
    </row>
    <row r="191" spans="1:1" x14ac:dyDescent="0.35">
      <c r="A191">
        <v>93.1</v>
      </c>
    </row>
    <row r="192" spans="1:1" x14ac:dyDescent="0.35">
      <c r="A192">
        <v>95.3</v>
      </c>
    </row>
    <row r="193" spans="1:1" x14ac:dyDescent="0.35">
      <c r="A193">
        <v>97.6</v>
      </c>
    </row>
    <row r="194" spans="1:1" x14ac:dyDescent="0.35">
      <c r="A194">
        <v>100</v>
      </c>
    </row>
    <row r="195" spans="1:1" x14ac:dyDescent="0.35">
      <c r="A195">
        <v>102</v>
      </c>
    </row>
    <row r="196" spans="1:1" x14ac:dyDescent="0.35">
      <c r="A196">
        <v>105</v>
      </c>
    </row>
    <row r="197" spans="1:1" x14ac:dyDescent="0.35">
      <c r="A197">
        <v>107</v>
      </c>
    </row>
    <row r="198" spans="1:1" x14ac:dyDescent="0.35">
      <c r="A198">
        <v>110</v>
      </c>
    </row>
    <row r="199" spans="1:1" x14ac:dyDescent="0.35">
      <c r="A199">
        <v>113</v>
      </c>
    </row>
    <row r="200" spans="1:1" x14ac:dyDescent="0.35">
      <c r="A200">
        <v>115</v>
      </c>
    </row>
    <row r="201" spans="1:1" x14ac:dyDescent="0.35">
      <c r="A201">
        <v>118</v>
      </c>
    </row>
    <row r="202" spans="1:1" x14ac:dyDescent="0.35">
      <c r="A202">
        <v>121</v>
      </c>
    </row>
    <row r="203" spans="1:1" x14ac:dyDescent="0.35">
      <c r="A203">
        <v>124</v>
      </c>
    </row>
    <row r="204" spans="1:1" x14ac:dyDescent="0.35">
      <c r="A204">
        <v>127</v>
      </c>
    </row>
    <row r="205" spans="1:1" x14ac:dyDescent="0.35">
      <c r="A205">
        <v>130</v>
      </c>
    </row>
    <row r="206" spans="1:1" x14ac:dyDescent="0.35">
      <c r="A206">
        <v>133</v>
      </c>
    </row>
    <row r="207" spans="1:1" x14ac:dyDescent="0.35">
      <c r="A207">
        <v>137</v>
      </c>
    </row>
    <row r="208" spans="1:1" x14ac:dyDescent="0.35">
      <c r="A208">
        <v>140</v>
      </c>
    </row>
    <row r="209" spans="1:1" x14ac:dyDescent="0.35">
      <c r="A209">
        <v>143</v>
      </c>
    </row>
    <row r="210" spans="1:1" x14ac:dyDescent="0.35">
      <c r="A210">
        <v>147</v>
      </c>
    </row>
    <row r="211" spans="1:1" x14ac:dyDescent="0.35">
      <c r="A211">
        <v>150</v>
      </c>
    </row>
    <row r="212" spans="1:1" x14ac:dyDescent="0.35">
      <c r="A212">
        <v>154</v>
      </c>
    </row>
    <row r="213" spans="1:1" x14ac:dyDescent="0.35">
      <c r="A213">
        <v>158</v>
      </c>
    </row>
    <row r="214" spans="1:1" x14ac:dyDescent="0.35">
      <c r="A214">
        <v>162</v>
      </c>
    </row>
    <row r="215" spans="1:1" x14ac:dyDescent="0.35">
      <c r="A215">
        <v>165</v>
      </c>
    </row>
    <row r="216" spans="1:1" x14ac:dyDescent="0.35">
      <c r="A216">
        <v>169</v>
      </c>
    </row>
    <row r="217" spans="1:1" x14ac:dyDescent="0.35">
      <c r="A217">
        <v>174</v>
      </c>
    </row>
    <row r="218" spans="1:1" x14ac:dyDescent="0.35">
      <c r="A218">
        <v>178</v>
      </c>
    </row>
    <row r="219" spans="1:1" x14ac:dyDescent="0.35">
      <c r="A219">
        <v>182</v>
      </c>
    </row>
    <row r="220" spans="1:1" x14ac:dyDescent="0.35">
      <c r="A220">
        <v>187</v>
      </c>
    </row>
    <row r="221" spans="1:1" x14ac:dyDescent="0.35">
      <c r="A221">
        <v>191</v>
      </c>
    </row>
    <row r="222" spans="1:1" x14ac:dyDescent="0.35">
      <c r="A222">
        <v>196</v>
      </c>
    </row>
    <row r="223" spans="1:1" x14ac:dyDescent="0.35">
      <c r="A223">
        <v>200</v>
      </c>
    </row>
    <row r="224" spans="1:1" x14ac:dyDescent="0.35">
      <c r="A224">
        <v>205</v>
      </c>
    </row>
    <row r="225" spans="1:1" x14ac:dyDescent="0.35">
      <c r="A225">
        <v>210</v>
      </c>
    </row>
    <row r="226" spans="1:1" x14ac:dyDescent="0.35">
      <c r="A226">
        <v>215</v>
      </c>
    </row>
    <row r="227" spans="1:1" x14ac:dyDescent="0.35">
      <c r="A227">
        <v>221</v>
      </c>
    </row>
    <row r="228" spans="1:1" x14ac:dyDescent="0.35">
      <c r="A228">
        <v>226</v>
      </c>
    </row>
    <row r="229" spans="1:1" x14ac:dyDescent="0.35">
      <c r="A229">
        <v>232</v>
      </c>
    </row>
    <row r="230" spans="1:1" x14ac:dyDescent="0.35">
      <c r="A230">
        <v>237</v>
      </c>
    </row>
    <row r="231" spans="1:1" x14ac:dyDescent="0.35">
      <c r="A231">
        <v>243</v>
      </c>
    </row>
    <row r="232" spans="1:1" x14ac:dyDescent="0.35">
      <c r="A232">
        <v>249</v>
      </c>
    </row>
    <row r="233" spans="1:1" x14ac:dyDescent="0.35">
      <c r="A233">
        <v>255</v>
      </c>
    </row>
    <row r="234" spans="1:1" x14ac:dyDescent="0.35">
      <c r="A234">
        <v>261</v>
      </c>
    </row>
    <row r="235" spans="1:1" x14ac:dyDescent="0.35">
      <c r="A235">
        <v>267</v>
      </c>
    </row>
    <row r="236" spans="1:1" x14ac:dyDescent="0.35">
      <c r="A236">
        <v>274</v>
      </c>
    </row>
    <row r="237" spans="1:1" x14ac:dyDescent="0.35">
      <c r="A237">
        <v>280</v>
      </c>
    </row>
    <row r="238" spans="1:1" x14ac:dyDescent="0.35">
      <c r="A238">
        <v>287</v>
      </c>
    </row>
    <row r="239" spans="1:1" x14ac:dyDescent="0.35">
      <c r="A239">
        <v>294</v>
      </c>
    </row>
    <row r="240" spans="1:1" x14ac:dyDescent="0.35">
      <c r="A240">
        <v>301</v>
      </c>
    </row>
    <row r="241" spans="1:1" x14ac:dyDescent="0.35">
      <c r="A241">
        <v>309</v>
      </c>
    </row>
    <row r="242" spans="1:1" x14ac:dyDescent="0.35">
      <c r="A242">
        <v>316</v>
      </c>
    </row>
    <row r="243" spans="1:1" x14ac:dyDescent="0.35">
      <c r="A243">
        <v>324</v>
      </c>
    </row>
    <row r="244" spans="1:1" x14ac:dyDescent="0.35">
      <c r="A244">
        <v>332</v>
      </c>
    </row>
    <row r="245" spans="1:1" x14ac:dyDescent="0.35">
      <c r="A245">
        <v>340</v>
      </c>
    </row>
    <row r="246" spans="1:1" x14ac:dyDescent="0.35">
      <c r="A246">
        <v>348</v>
      </c>
    </row>
    <row r="247" spans="1:1" x14ac:dyDescent="0.35">
      <c r="A247">
        <v>357</v>
      </c>
    </row>
    <row r="248" spans="1:1" x14ac:dyDescent="0.35">
      <c r="A248">
        <v>365</v>
      </c>
    </row>
    <row r="249" spans="1:1" x14ac:dyDescent="0.35">
      <c r="A249">
        <v>374</v>
      </c>
    </row>
    <row r="250" spans="1:1" x14ac:dyDescent="0.35">
      <c r="A250">
        <v>383</v>
      </c>
    </row>
    <row r="251" spans="1:1" x14ac:dyDescent="0.35">
      <c r="A251">
        <v>392</v>
      </c>
    </row>
    <row r="252" spans="1:1" x14ac:dyDescent="0.35">
      <c r="A252">
        <v>402</v>
      </c>
    </row>
    <row r="253" spans="1:1" x14ac:dyDescent="0.35">
      <c r="A253">
        <v>412</v>
      </c>
    </row>
    <row r="254" spans="1:1" x14ac:dyDescent="0.35">
      <c r="A254">
        <v>422</v>
      </c>
    </row>
    <row r="255" spans="1:1" x14ac:dyDescent="0.35">
      <c r="A255">
        <v>432</v>
      </c>
    </row>
    <row r="256" spans="1:1" x14ac:dyDescent="0.35">
      <c r="A256">
        <v>442</v>
      </c>
    </row>
    <row r="257" spans="1:1" x14ac:dyDescent="0.35">
      <c r="A257">
        <v>453</v>
      </c>
    </row>
    <row r="258" spans="1:1" x14ac:dyDescent="0.35">
      <c r="A258">
        <v>464</v>
      </c>
    </row>
    <row r="259" spans="1:1" x14ac:dyDescent="0.35">
      <c r="A259">
        <v>475</v>
      </c>
    </row>
    <row r="260" spans="1:1" x14ac:dyDescent="0.35">
      <c r="A260">
        <v>487</v>
      </c>
    </row>
    <row r="261" spans="1:1" x14ac:dyDescent="0.35">
      <c r="A261">
        <v>499</v>
      </c>
    </row>
    <row r="262" spans="1:1" x14ac:dyDescent="0.35">
      <c r="A262">
        <v>511</v>
      </c>
    </row>
    <row r="263" spans="1:1" x14ac:dyDescent="0.35">
      <c r="A263">
        <v>523</v>
      </c>
    </row>
    <row r="264" spans="1:1" x14ac:dyDescent="0.35">
      <c r="A264">
        <v>536</v>
      </c>
    </row>
    <row r="265" spans="1:1" x14ac:dyDescent="0.35">
      <c r="A265">
        <v>549</v>
      </c>
    </row>
    <row r="266" spans="1:1" x14ac:dyDescent="0.35">
      <c r="A266">
        <v>562</v>
      </c>
    </row>
    <row r="267" spans="1:1" x14ac:dyDescent="0.35">
      <c r="A267">
        <v>576</v>
      </c>
    </row>
    <row r="268" spans="1:1" x14ac:dyDescent="0.35">
      <c r="A268">
        <v>590</v>
      </c>
    </row>
    <row r="269" spans="1:1" x14ac:dyDescent="0.35">
      <c r="A269">
        <v>604</v>
      </c>
    </row>
    <row r="270" spans="1:1" x14ac:dyDescent="0.35">
      <c r="A270">
        <v>619</v>
      </c>
    </row>
    <row r="271" spans="1:1" x14ac:dyDescent="0.35">
      <c r="A271">
        <v>634</v>
      </c>
    </row>
    <row r="272" spans="1:1" x14ac:dyDescent="0.35">
      <c r="A272">
        <v>649</v>
      </c>
    </row>
    <row r="273" spans="1:1" x14ac:dyDescent="0.35">
      <c r="A273">
        <v>665</v>
      </c>
    </row>
    <row r="274" spans="1:1" x14ac:dyDescent="0.35">
      <c r="A274">
        <v>681</v>
      </c>
    </row>
    <row r="275" spans="1:1" x14ac:dyDescent="0.35">
      <c r="A275">
        <v>698</v>
      </c>
    </row>
    <row r="276" spans="1:1" x14ac:dyDescent="0.35">
      <c r="A276">
        <v>715</v>
      </c>
    </row>
    <row r="277" spans="1:1" x14ac:dyDescent="0.35">
      <c r="A277">
        <v>732</v>
      </c>
    </row>
    <row r="278" spans="1:1" x14ac:dyDescent="0.35">
      <c r="A278">
        <v>750</v>
      </c>
    </row>
    <row r="279" spans="1:1" x14ac:dyDescent="0.35">
      <c r="A279">
        <v>768</v>
      </c>
    </row>
    <row r="280" spans="1:1" x14ac:dyDescent="0.35">
      <c r="A280">
        <v>787</v>
      </c>
    </row>
    <row r="281" spans="1:1" x14ac:dyDescent="0.35">
      <c r="A281">
        <v>806</v>
      </c>
    </row>
    <row r="282" spans="1:1" x14ac:dyDescent="0.35">
      <c r="A282">
        <v>825</v>
      </c>
    </row>
    <row r="283" spans="1:1" x14ac:dyDescent="0.35">
      <c r="A283">
        <v>845</v>
      </c>
    </row>
    <row r="284" spans="1:1" x14ac:dyDescent="0.35">
      <c r="A284">
        <v>866</v>
      </c>
    </row>
    <row r="285" spans="1:1" x14ac:dyDescent="0.35">
      <c r="A285">
        <v>887</v>
      </c>
    </row>
    <row r="286" spans="1:1" x14ac:dyDescent="0.35">
      <c r="A286">
        <v>909</v>
      </c>
    </row>
    <row r="287" spans="1:1" x14ac:dyDescent="0.35">
      <c r="A287">
        <v>931</v>
      </c>
    </row>
    <row r="288" spans="1:1" x14ac:dyDescent="0.35">
      <c r="A288">
        <v>953</v>
      </c>
    </row>
    <row r="289" spans="1:1" x14ac:dyDescent="0.35">
      <c r="A289">
        <v>976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3EA16-4671-48F3-A781-37BE166D9F76}">
  <dimension ref="B3:D14"/>
  <sheetViews>
    <sheetView workbookViewId="0">
      <selection activeCell="B7" sqref="B7:D7"/>
    </sheetView>
  </sheetViews>
  <sheetFormatPr defaultRowHeight="14.5" x14ac:dyDescent="0.35"/>
  <cols>
    <col min="2" max="2" width="10.81640625" bestFit="1" customWidth="1"/>
    <col min="4" max="4" width="72.81640625" customWidth="1"/>
  </cols>
  <sheetData>
    <row r="3" spans="2:4" x14ac:dyDescent="0.35">
      <c r="B3" s="52" t="s">
        <v>232</v>
      </c>
      <c r="C3" s="52" t="s">
        <v>233</v>
      </c>
      <c r="D3" s="52" t="s">
        <v>234</v>
      </c>
    </row>
    <row r="4" spans="2:4" ht="15" customHeight="1" x14ac:dyDescent="0.35">
      <c r="B4" s="83">
        <v>45617</v>
      </c>
      <c r="C4" s="86" t="s">
        <v>235</v>
      </c>
      <c r="D4" s="85" t="s">
        <v>236</v>
      </c>
    </row>
    <row r="5" spans="2:4" x14ac:dyDescent="0.35">
      <c r="B5" s="83">
        <v>45836</v>
      </c>
      <c r="C5" s="84">
        <v>1.1000000000000001</v>
      </c>
      <c r="D5" s="85" t="s">
        <v>247</v>
      </c>
    </row>
    <row r="6" spans="2:4" x14ac:dyDescent="0.35">
      <c r="B6" s="83">
        <v>46126</v>
      </c>
      <c r="C6" s="84">
        <v>1.2</v>
      </c>
      <c r="D6" s="85" t="s">
        <v>253</v>
      </c>
    </row>
    <row r="7" spans="2:4" ht="29" x14ac:dyDescent="0.35">
      <c r="B7" s="83">
        <v>46296</v>
      </c>
      <c r="C7" s="84">
        <v>1.3</v>
      </c>
      <c r="D7" s="85" t="s">
        <v>257</v>
      </c>
    </row>
    <row r="8" spans="2:4" x14ac:dyDescent="0.35">
      <c r="B8" s="83"/>
      <c r="C8" s="84"/>
      <c r="D8" s="85"/>
    </row>
    <row r="9" spans="2:4" x14ac:dyDescent="0.35">
      <c r="B9" s="83"/>
      <c r="C9" s="84"/>
      <c r="D9" s="85"/>
    </row>
    <row r="10" spans="2:4" x14ac:dyDescent="0.35">
      <c r="B10" s="83"/>
      <c r="C10" s="84"/>
      <c r="D10" s="85"/>
    </row>
    <row r="11" spans="2:4" x14ac:dyDescent="0.35">
      <c r="B11" s="83"/>
      <c r="C11" s="84"/>
      <c r="D11" s="85"/>
    </row>
    <row r="12" spans="2:4" x14ac:dyDescent="0.35">
      <c r="B12" s="83"/>
      <c r="C12" s="84"/>
      <c r="D12" s="85"/>
    </row>
    <row r="13" spans="2:4" x14ac:dyDescent="0.35">
      <c r="B13" s="83"/>
      <c r="C13" s="84"/>
      <c r="D13" s="85"/>
    </row>
    <row r="14" spans="2:4" x14ac:dyDescent="0.35">
      <c r="B14" s="83"/>
      <c r="C14" s="84"/>
      <c r="D14" s="8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DS Parameters</vt:lpstr>
      <vt:lpstr>COUT Network Design</vt:lpstr>
      <vt:lpstr>CIN Network Design</vt:lpstr>
      <vt:lpstr>Common Components</vt:lpstr>
      <vt:lpstr>1% resistor table</vt:lpstr>
      <vt:lpstr>Revision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Juan</dc:creator>
  <cp:lastModifiedBy>Ross Kerley</cp:lastModifiedBy>
  <dcterms:created xsi:type="dcterms:W3CDTF">2023-09-21T18:29:03Z</dcterms:created>
  <dcterms:modified xsi:type="dcterms:W3CDTF">2026-10-01T18:59:14Z</dcterms:modified>
</cp:coreProperties>
</file>