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nalog Solutions PL\Applications Loading\Tim_Lok\Rad_Hard_Space\ISL73007 3A Sync Buck\"/>
    </mc:Choice>
  </mc:AlternateContent>
  <xr:revisionPtr revIDLastSave="0" documentId="13_ncr:1_{58E58254-6B2C-4AD0-B3EF-52DC990F54CB}" xr6:coauthVersionLast="47" xr6:coauthVersionMax="47" xr10:uidLastSave="{00000000-0000-0000-0000-000000000000}"/>
  <bookViews>
    <workbookView xWindow="-28920" yWindow="-1935" windowWidth="29040" windowHeight="17790" activeTab="1" xr2:uid="{DF4BD7BE-721B-4DF1-A64F-2DE8F8FF6C0D}"/>
  </bookViews>
  <sheets>
    <sheet name="Reference" sheetId="2" r:id="rId1"/>
    <sheet name="Efficiency" sheetId="8" r:id="rId2"/>
    <sheet name="Components" sheetId="9" r:id="rId3"/>
    <sheet name="Operating Current" sheetId="10" r:id="rId4"/>
    <sheet name="Rev History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8" l="1"/>
  <c r="B12" i="8"/>
  <c r="G19" i="8"/>
  <c r="G20" i="8" s="1"/>
  <c r="G16" i="8"/>
  <c r="L23" i="8" s="1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13" i="10"/>
  <c r="B14" i="8" l="1"/>
  <c r="B11" i="8"/>
  <c r="J7" i="9" l="1"/>
  <c r="I7" i="9"/>
  <c r="H7" i="9"/>
  <c r="G7" i="9"/>
  <c r="F7" i="9"/>
  <c r="J6" i="9"/>
  <c r="B15" i="8" s="1"/>
  <c r="J5" i="9"/>
  <c r="R23" i="8" l="1"/>
  <c r="N25" i="8" l="1"/>
  <c r="N33" i="8"/>
  <c r="N41" i="8"/>
  <c r="N49" i="8"/>
  <c r="N57" i="8"/>
  <c r="N65" i="8"/>
  <c r="N73" i="8"/>
  <c r="N26" i="8"/>
  <c r="N34" i="8"/>
  <c r="N42" i="8"/>
  <c r="N50" i="8"/>
  <c r="N58" i="8"/>
  <c r="N66" i="8"/>
  <c r="N23" i="8"/>
  <c r="N27" i="8"/>
  <c r="N35" i="8"/>
  <c r="N43" i="8"/>
  <c r="N51" i="8"/>
  <c r="N59" i="8"/>
  <c r="N67" i="8"/>
  <c r="N72" i="8"/>
  <c r="N28" i="8"/>
  <c r="N36" i="8"/>
  <c r="N44" i="8"/>
  <c r="N52" i="8"/>
  <c r="N60" i="8"/>
  <c r="N68" i="8"/>
  <c r="N62" i="8"/>
  <c r="N39" i="8"/>
  <c r="N55" i="8"/>
  <c r="N71" i="8"/>
  <c r="N40" i="8"/>
  <c r="N56" i="8"/>
  <c r="N29" i="8"/>
  <c r="N37" i="8"/>
  <c r="N45" i="8"/>
  <c r="N53" i="8"/>
  <c r="N61" i="8"/>
  <c r="N69" i="8"/>
  <c r="N30" i="8"/>
  <c r="N38" i="8"/>
  <c r="N46" i="8"/>
  <c r="N54" i="8"/>
  <c r="N70" i="8"/>
  <c r="N31" i="8"/>
  <c r="N47" i="8"/>
  <c r="N63" i="8"/>
  <c r="N24" i="8"/>
  <c r="N32" i="8"/>
  <c r="N48" i="8"/>
  <c r="N64" i="8"/>
  <c r="L73" i="8" l="1"/>
  <c r="J73" i="8"/>
  <c r="L72" i="8"/>
  <c r="J72" i="8"/>
  <c r="L71" i="8"/>
  <c r="J71" i="8"/>
  <c r="L70" i="8"/>
  <c r="J70" i="8"/>
  <c r="L69" i="8"/>
  <c r="J69" i="8"/>
  <c r="L68" i="8"/>
  <c r="J68" i="8"/>
  <c r="L67" i="8"/>
  <c r="J67" i="8"/>
  <c r="L66" i="8"/>
  <c r="J66" i="8"/>
  <c r="L65" i="8"/>
  <c r="J65" i="8"/>
  <c r="L64" i="8"/>
  <c r="J64" i="8"/>
  <c r="L63" i="8"/>
  <c r="J63" i="8"/>
  <c r="L62" i="8"/>
  <c r="J62" i="8"/>
  <c r="L61" i="8"/>
  <c r="J61" i="8"/>
  <c r="L60" i="8"/>
  <c r="J60" i="8"/>
  <c r="L59" i="8"/>
  <c r="J59" i="8"/>
  <c r="L58" i="8"/>
  <c r="J58" i="8"/>
  <c r="L57" i="8"/>
  <c r="J57" i="8"/>
  <c r="L56" i="8"/>
  <c r="J56" i="8"/>
  <c r="L55" i="8"/>
  <c r="J55" i="8"/>
  <c r="L54" i="8"/>
  <c r="J54" i="8"/>
  <c r="L53" i="8"/>
  <c r="J53" i="8"/>
  <c r="L52" i="8"/>
  <c r="J52" i="8"/>
  <c r="L51" i="8"/>
  <c r="J51" i="8"/>
  <c r="L50" i="8"/>
  <c r="J50" i="8"/>
  <c r="L49" i="8"/>
  <c r="J49" i="8"/>
  <c r="L48" i="8"/>
  <c r="J48" i="8"/>
  <c r="L47" i="8"/>
  <c r="J47" i="8"/>
  <c r="L46" i="8"/>
  <c r="J46" i="8"/>
  <c r="L45" i="8"/>
  <c r="J45" i="8"/>
  <c r="L44" i="8"/>
  <c r="J44" i="8"/>
  <c r="L43" i="8"/>
  <c r="J43" i="8"/>
  <c r="L42" i="8"/>
  <c r="J42" i="8"/>
  <c r="L41" i="8"/>
  <c r="J41" i="8"/>
  <c r="L40" i="8"/>
  <c r="J40" i="8"/>
  <c r="L39" i="8"/>
  <c r="J39" i="8"/>
  <c r="L38" i="8"/>
  <c r="J38" i="8"/>
  <c r="L37" i="8"/>
  <c r="J37" i="8"/>
  <c r="L36" i="8"/>
  <c r="J36" i="8"/>
  <c r="L35" i="8"/>
  <c r="J35" i="8"/>
  <c r="L34" i="8"/>
  <c r="J34" i="8"/>
  <c r="L33" i="8"/>
  <c r="J33" i="8"/>
  <c r="L32" i="8"/>
  <c r="J32" i="8"/>
  <c r="L31" i="8"/>
  <c r="J31" i="8"/>
  <c r="L30" i="8"/>
  <c r="J30" i="8"/>
  <c r="L29" i="8"/>
  <c r="J29" i="8"/>
  <c r="L28" i="8"/>
  <c r="J28" i="8"/>
  <c r="L27" i="8"/>
  <c r="J27" i="8"/>
  <c r="L26" i="8"/>
  <c r="J26" i="8"/>
  <c r="L25" i="8"/>
  <c r="J25" i="8"/>
  <c r="L24" i="8"/>
  <c r="J24" i="8"/>
  <c r="A24" i="8"/>
  <c r="J23" i="8"/>
  <c r="B23" i="8"/>
  <c r="P23" i="8" s="1"/>
  <c r="B7" i="8"/>
  <c r="B10" i="8" s="1"/>
  <c r="B19" i="8" s="1"/>
  <c r="A25" i="8" l="1"/>
  <c r="R24" i="8"/>
  <c r="B9" i="8"/>
  <c r="B18" i="8" s="1"/>
  <c r="B24" i="8"/>
  <c r="B20" i="8" l="1"/>
  <c r="A26" i="8"/>
  <c r="R25" i="8"/>
  <c r="B25" i="8"/>
  <c r="C25" i="8" s="1"/>
  <c r="C23" i="8"/>
  <c r="K23" i="8" s="1"/>
  <c r="P24" i="8"/>
  <c r="C24" i="8"/>
  <c r="M23" i="8" l="1"/>
  <c r="P25" i="8"/>
  <c r="R26" i="8"/>
  <c r="B26" i="8"/>
  <c r="A27" i="8"/>
  <c r="F25" i="8"/>
  <c r="G25" i="8"/>
  <c r="G24" i="8"/>
  <c r="F24" i="8"/>
  <c r="I23" i="8"/>
  <c r="F23" i="8"/>
  <c r="G23" i="8"/>
  <c r="H23" i="8"/>
  <c r="D23" i="8"/>
  <c r="E23" i="8"/>
  <c r="E25" i="8"/>
  <c r="I25" i="8"/>
  <c r="D25" i="8"/>
  <c r="K25" i="8"/>
  <c r="H25" i="8"/>
  <c r="M25" i="8"/>
  <c r="K24" i="8"/>
  <c r="E24" i="8"/>
  <c r="D24" i="8"/>
  <c r="I24" i="8"/>
  <c r="H24" i="8"/>
  <c r="M24" i="8"/>
  <c r="T25" i="8" l="1"/>
  <c r="T23" i="8"/>
  <c r="S23" i="8"/>
  <c r="S25" i="8"/>
  <c r="O23" i="8"/>
  <c r="U23" i="8" s="1"/>
  <c r="T24" i="8"/>
  <c r="S24" i="8"/>
  <c r="R27" i="8"/>
  <c r="A28" i="8"/>
  <c r="B27" i="8"/>
  <c r="C26" i="8"/>
  <c r="P26" i="8"/>
  <c r="O24" i="8"/>
  <c r="O25" i="8"/>
  <c r="E26" i="8" l="1"/>
  <c r="K26" i="8"/>
  <c r="F26" i="8"/>
  <c r="I26" i="8"/>
  <c r="M26" i="8"/>
  <c r="G26" i="8"/>
  <c r="D26" i="8"/>
  <c r="H26" i="8"/>
  <c r="C27" i="8"/>
  <c r="P27" i="8"/>
  <c r="R28" i="8"/>
  <c r="A29" i="8"/>
  <c r="B28" i="8"/>
  <c r="W23" i="8"/>
  <c r="V23" i="8"/>
  <c r="Q23" i="8"/>
  <c r="W24" i="8"/>
  <c r="W25" i="8"/>
  <c r="U25" i="8"/>
  <c r="Q25" i="8"/>
  <c r="U24" i="8"/>
  <c r="Q24" i="8"/>
  <c r="V25" i="8"/>
  <c r="V24" i="8"/>
  <c r="T26" i="8" l="1"/>
  <c r="S26" i="8"/>
  <c r="C28" i="8"/>
  <c r="P28" i="8"/>
  <c r="R29" i="8"/>
  <c r="A30" i="8"/>
  <c r="B29" i="8"/>
  <c r="O26" i="8"/>
  <c r="K27" i="8"/>
  <c r="D27" i="8"/>
  <c r="I27" i="8"/>
  <c r="G27" i="8"/>
  <c r="M27" i="8"/>
  <c r="E27" i="8"/>
  <c r="H27" i="8"/>
  <c r="F27" i="8"/>
  <c r="S27" i="8" l="1"/>
  <c r="T27" i="8"/>
  <c r="R30" i="8"/>
  <c r="A31" i="8"/>
  <c r="B30" i="8"/>
  <c r="P29" i="8"/>
  <c r="C29" i="8"/>
  <c r="O27" i="8"/>
  <c r="U26" i="8"/>
  <c r="Q26" i="8"/>
  <c r="D28" i="8"/>
  <c r="I28" i="8"/>
  <c r="H28" i="8"/>
  <c r="G28" i="8"/>
  <c r="M28" i="8"/>
  <c r="F28" i="8"/>
  <c r="K28" i="8"/>
  <c r="E28" i="8"/>
  <c r="V26" i="8"/>
  <c r="W26" i="8"/>
  <c r="T28" i="8" l="1"/>
  <c r="S28" i="8"/>
  <c r="W27" i="8"/>
  <c r="V27" i="8"/>
  <c r="O28" i="8"/>
  <c r="F29" i="8"/>
  <c r="E29" i="8"/>
  <c r="D29" i="8"/>
  <c r="K29" i="8"/>
  <c r="H29" i="8"/>
  <c r="M29" i="8"/>
  <c r="G29" i="8"/>
  <c r="I29" i="8"/>
  <c r="R31" i="8"/>
  <c r="A32" i="8"/>
  <c r="B31" i="8"/>
  <c r="U27" i="8"/>
  <c r="Q27" i="8"/>
  <c r="C30" i="8"/>
  <c r="P30" i="8"/>
  <c r="T29" i="8" l="1"/>
  <c r="S29" i="8"/>
  <c r="W28" i="8"/>
  <c r="V28" i="8"/>
  <c r="O29" i="8"/>
  <c r="E30" i="8"/>
  <c r="H30" i="8"/>
  <c r="F30" i="8"/>
  <c r="K30" i="8"/>
  <c r="D30" i="8"/>
  <c r="G30" i="8"/>
  <c r="M30" i="8"/>
  <c r="I30" i="8"/>
  <c r="P31" i="8"/>
  <c r="C31" i="8"/>
  <c r="U28" i="8"/>
  <c r="Q28" i="8"/>
  <c r="R32" i="8"/>
  <c r="A33" i="8"/>
  <c r="B32" i="8"/>
  <c r="S30" i="8" l="1"/>
  <c r="T30" i="8"/>
  <c r="Q29" i="8"/>
  <c r="U29" i="8"/>
  <c r="W29" i="8"/>
  <c r="G31" i="8"/>
  <c r="D31" i="8"/>
  <c r="K31" i="8"/>
  <c r="F31" i="8"/>
  <c r="E31" i="8"/>
  <c r="I31" i="8"/>
  <c r="H31" i="8"/>
  <c r="M31" i="8"/>
  <c r="R33" i="8"/>
  <c r="B33" i="8"/>
  <c r="A34" i="8"/>
  <c r="V29" i="8"/>
  <c r="C32" i="8"/>
  <c r="P32" i="8"/>
  <c r="O30" i="8"/>
  <c r="T31" i="8" l="1"/>
  <c r="S31" i="8"/>
  <c r="Q30" i="8"/>
  <c r="U30" i="8"/>
  <c r="V30" i="8"/>
  <c r="C33" i="8"/>
  <c r="P33" i="8"/>
  <c r="W30" i="8"/>
  <c r="O31" i="8"/>
  <c r="R34" i="8"/>
  <c r="A35" i="8"/>
  <c r="B34" i="8"/>
  <c r="G32" i="8"/>
  <c r="H32" i="8"/>
  <c r="F32" i="8"/>
  <c r="K32" i="8"/>
  <c r="D32" i="8"/>
  <c r="I32" i="8"/>
  <c r="M32" i="8"/>
  <c r="E32" i="8"/>
  <c r="T32" i="8" l="1"/>
  <c r="S32" i="8"/>
  <c r="W31" i="8"/>
  <c r="V31" i="8"/>
  <c r="Q31" i="8"/>
  <c r="U31" i="8"/>
  <c r="C34" i="8"/>
  <c r="P34" i="8"/>
  <c r="O32" i="8"/>
  <c r="R35" i="8"/>
  <c r="A36" i="8"/>
  <c r="B35" i="8"/>
  <c r="F33" i="8"/>
  <c r="I33" i="8"/>
  <c r="G33" i="8"/>
  <c r="D33" i="8"/>
  <c r="E33" i="8"/>
  <c r="H33" i="8"/>
  <c r="M33" i="8"/>
  <c r="K33" i="8"/>
  <c r="S33" i="8" l="1"/>
  <c r="T33" i="8"/>
  <c r="W32" i="8"/>
  <c r="V32" i="8"/>
  <c r="U32" i="8"/>
  <c r="Q32" i="8"/>
  <c r="P35" i="8"/>
  <c r="C35" i="8"/>
  <c r="M34" i="8"/>
  <c r="F34" i="8"/>
  <c r="H34" i="8"/>
  <c r="E34" i="8"/>
  <c r="I34" i="8"/>
  <c r="G34" i="8"/>
  <c r="K34" i="8"/>
  <c r="D34" i="8"/>
  <c r="R36" i="8"/>
  <c r="B36" i="8"/>
  <c r="A37" i="8"/>
  <c r="O33" i="8"/>
  <c r="T34" i="8" l="1"/>
  <c r="S34" i="8"/>
  <c r="V33" i="8"/>
  <c r="D35" i="8"/>
  <c r="G35" i="8"/>
  <c r="I35" i="8"/>
  <c r="M35" i="8"/>
  <c r="K35" i="8"/>
  <c r="F35" i="8"/>
  <c r="H35" i="8"/>
  <c r="E35" i="8"/>
  <c r="O34" i="8"/>
  <c r="R37" i="8"/>
  <c r="B37" i="8"/>
  <c r="A38" i="8"/>
  <c r="Q33" i="8"/>
  <c r="U33" i="8"/>
  <c r="P36" i="8"/>
  <c r="C36" i="8"/>
  <c r="W33" i="8"/>
  <c r="S35" i="8" l="1"/>
  <c r="T35" i="8"/>
  <c r="W34" i="8"/>
  <c r="V34" i="8"/>
  <c r="R38" i="8"/>
  <c r="B38" i="8"/>
  <c r="A39" i="8"/>
  <c r="O35" i="8"/>
  <c r="E36" i="8"/>
  <c r="D36" i="8"/>
  <c r="I36" i="8"/>
  <c r="H36" i="8"/>
  <c r="K36" i="8"/>
  <c r="G36" i="8"/>
  <c r="F36" i="8"/>
  <c r="M36" i="8"/>
  <c r="P37" i="8"/>
  <c r="C37" i="8"/>
  <c r="U34" i="8"/>
  <c r="Q34" i="8"/>
  <c r="S36" i="8" l="1"/>
  <c r="T36" i="8"/>
  <c r="W35" i="8"/>
  <c r="O36" i="8"/>
  <c r="Q35" i="8"/>
  <c r="U35" i="8"/>
  <c r="M37" i="8"/>
  <c r="I37" i="8"/>
  <c r="G37" i="8"/>
  <c r="D37" i="8"/>
  <c r="H37" i="8"/>
  <c r="E37" i="8"/>
  <c r="K37" i="8"/>
  <c r="F37" i="8"/>
  <c r="V35" i="8"/>
  <c r="R39" i="8"/>
  <c r="A40" i="8"/>
  <c r="B39" i="8"/>
  <c r="P38" i="8"/>
  <c r="C38" i="8"/>
  <c r="T37" i="8" l="1"/>
  <c r="S37" i="8"/>
  <c r="W36" i="8"/>
  <c r="R40" i="8"/>
  <c r="A41" i="8"/>
  <c r="B40" i="8"/>
  <c r="P39" i="8"/>
  <c r="C39" i="8"/>
  <c r="O37" i="8"/>
  <c r="Q36" i="8"/>
  <c r="U36" i="8"/>
  <c r="G38" i="8"/>
  <c r="H38" i="8"/>
  <c r="I38" i="8"/>
  <c r="E38" i="8"/>
  <c r="F38" i="8"/>
  <c r="M38" i="8"/>
  <c r="K38" i="8"/>
  <c r="D38" i="8"/>
  <c r="V36" i="8"/>
  <c r="T38" i="8" l="1"/>
  <c r="S38" i="8"/>
  <c r="W37" i="8"/>
  <c r="D39" i="8"/>
  <c r="I39" i="8"/>
  <c r="E39" i="8"/>
  <c r="G39" i="8"/>
  <c r="M39" i="8"/>
  <c r="H39" i="8"/>
  <c r="F39" i="8"/>
  <c r="K39" i="8"/>
  <c r="O38" i="8"/>
  <c r="C40" i="8"/>
  <c r="P40" i="8"/>
  <c r="Q37" i="8"/>
  <c r="U37" i="8"/>
  <c r="R41" i="8"/>
  <c r="B41" i="8"/>
  <c r="A42" i="8"/>
  <c r="V37" i="8"/>
  <c r="S39" i="8" l="1"/>
  <c r="T39" i="8"/>
  <c r="W38" i="8"/>
  <c r="V38" i="8"/>
  <c r="R42" i="8"/>
  <c r="A43" i="8"/>
  <c r="B42" i="8"/>
  <c r="C41" i="8"/>
  <c r="P41" i="8"/>
  <c r="H40" i="8"/>
  <c r="G40" i="8"/>
  <c r="K40" i="8"/>
  <c r="F40" i="8"/>
  <c r="I40" i="8"/>
  <c r="D40" i="8"/>
  <c r="M40" i="8"/>
  <c r="E40" i="8"/>
  <c r="U38" i="8"/>
  <c r="Q38" i="8"/>
  <c r="O39" i="8"/>
  <c r="T40" i="8" l="1"/>
  <c r="S40" i="8"/>
  <c r="W39" i="8"/>
  <c r="O40" i="8"/>
  <c r="M41" i="8"/>
  <c r="I41" i="8"/>
  <c r="D41" i="8"/>
  <c r="F41" i="8"/>
  <c r="K41" i="8"/>
  <c r="E41" i="8"/>
  <c r="H41" i="8"/>
  <c r="G41" i="8"/>
  <c r="C42" i="8"/>
  <c r="P42" i="8"/>
  <c r="Q39" i="8"/>
  <c r="U39" i="8"/>
  <c r="V39" i="8"/>
  <c r="R43" i="8"/>
  <c r="B43" i="8"/>
  <c r="A44" i="8"/>
  <c r="S41" i="8" l="1"/>
  <c r="T41" i="8"/>
  <c r="U40" i="8"/>
  <c r="W40" i="8"/>
  <c r="Q40" i="8"/>
  <c r="V40" i="8"/>
  <c r="G42" i="8"/>
  <c r="H42" i="8"/>
  <c r="K42" i="8"/>
  <c r="D42" i="8"/>
  <c r="F42" i="8"/>
  <c r="E42" i="8"/>
  <c r="M42" i="8"/>
  <c r="I42" i="8"/>
  <c r="O41" i="8"/>
  <c r="C43" i="8"/>
  <c r="P43" i="8"/>
  <c r="R44" i="8"/>
  <c r="A45" i="8"/>
  <c r="B44" i="8"/>
  <c r="S42" i="8" l="1"/>
  <c r="T42" i="8"/>
  <c r="W41" i="8"/>
  <c r="R45" i="8"/>
  <c r="A46" i="8"/>
  <c r="B45" i="8"/>
  <c r="H43" i="8"/>
  <c r="M43" i="8"/>
  <c r="G43" i="8"/>
  <c r="K43" i="8"/>
  <c r="I43" i="8"/>
  <c r="F43" i="8"/>
  <c r="E43" i="8"/>
  <c r="D43" i="8"/>
  <c r="U41" i="8"/>
  <c r="Q41" i="8"/>
  <c r="O42" i="8"/>
  <c r="C44" i="8"/>
  <c r="P44" i="8"/>
  <c r="V41" i="8"/>
  <c r="S43" i="8" l="1"/>
  <c r="T43" i="8"/>
  <c r="I44" i="8"/>
  <c r="K44" i="8"/>
  <c r="G44" i="8"/>
  <c r="H44" i="8"/>
  <c r="M44" i="8"/>
  <c r="D44" i="8"/>
  <c r="F44" i="8"/>
  <c r="E44" i="8"/>
  <c r="U42" i="8"/>
  <c r="Q42" i="8"/>
  <c r="C45" i="8"/>
  <c r="P45" i="8"/>
  <c r="V42" i="8"/>
  <c r="R46" i="8"/>
  <c r="A47" i="8"/>
  <c r="B46" i="8"/>
  <c r="O43" i="8"/>
  <c r="W42" i="8"/>
  <c r="T44" i="8" l="1"/>
  <c r="S44" i="8"/>
  <c r="V43" i="8"/>
  <c r="M45" i="8"/>
  <c r="I45" i="8"/>
  <c r="D45" i="8"/>
  <c r="F45" i="8"/>
  <c r="E45" i="8"/>
  <c r="H45" i="8"/>
  <c r="K45" i="8"/>
  <c r="G45" i="8"/>
  <c r="P46" i="8"/>
  <c r="C46" i="8"/>
  <c r="R47" i="8"/>
  <c r="A48" i="8"/>
  <c r="B47" i="8"/>
  <c r="U43" i="8"/>
  <c r="Q43" i="8"/>
  <c r="O44" i="8"/>
  <c r="W43" i="8"/>
  <c r="S45" i="8" l="1"/>
  <c r="T45" i="8"/>
  <c r="V44" i="8"/>
  <c r="W44" i="8"/>
  <c r="O45" i="8"/>
  <c r="U44" i="8"/>
  <c r="Q44" i="8"/>
  <c r="E46" i="8"/>
  <c r="D46" i="8"/>
  <c r="I46" i="8"/>
  <c r="K46" i="8"/>
  <c r="G46" i="8"/>
  <c r="M46" i="8"/>
  <c r="F46" i="8"/>
  <c r="H46" i="8"/>
  <c r="P47" i="8"/>
  <c r="C47" i="8"/>
  <c r="R48" i="8"/>
  <c r="A49" i="8"/>
  <c r="B48" i="8"/>
  <c r="T46" i="8" l="1"/>
  <c r="S46" i="8"/>
  <c r="W45" i="8"/>
  <c r="V45" i="8"/>
  <c r="Q45" i="8"/>
  <c r="U45" i="8"/>
  <c r="O46" i="8"/>
  <c r="H47" i="8"/>
  <c r="E47" i="8"/>
  <c r="I47" i="8"/>
  <c r="M47" i="8"/>
  <c r="G47" i="8"/>
  <c r="F47" i="8"/>
  <c r="D47" i="8"/>
  <c r="K47" i="8"/>
  <c r="P48" i="8"/>
  <c r="C48" i="8"/>
  <c r="R49" i="8"/>
  <c r="A50" i="8"/>
  <c r="B49" i="8"/>
  <c r="S47" i="8" l="1"/>
  <c r="T47" i="8"/>
  <c r="O47" i="8"/>
  <c r="U46" i="8"/>
  <c r="Q46" i="8"/>
  <c r="P49" i="8"/>
  <c r="C49" i="8"/>
  <c r="V46" i="8"/>
  <c r="R50" i="8"/>
  <c r="A51" i="8"/>
  <c r="B50" i="8"/>
  <c r="W46" i="8"/>
  <c r="E48" i="8"/>
  <c r="G48" i="8"/>
  <c r="H48" i="8"/>
  <c r="F48" i="8"/>
  <c r="K48" i="8"/>
  <c r="I48" i="8"/>
  <c r="D48" i="8"/>
  <c r="M48" i="8"/>
  <c r="T48" i="8" l="1"/>
  <c r="S48" i="8"/>
  <c r="C50" i="8"/>
  <c r="P50" i="8"/>
  <c r="R51" i="8"/>
  <c r="A52" i="8"/>
  <c r="B51" i="8"/>
  <c r="Q47" i="8"/>
  <c r="U47" i="8"/>
  <c r="V47" i="8"/>
  <c r="O48" i="8"/>
  <c r="F49" i="8"/>
  <c r="K49" i="8"/>
  <c r="G49" i="8"/>
  <c r="E49" i="8"/>
  <c r="H49" i="8"/>
  <c r="D49" i="8"/>
  <c r="I49" i="8"/>
  <c r="M49" i="8"/>
  <c r="W47" i="8"/>
  <c r="T49" i="8" l="1"/>
  <c r="S49" i="8"/>
  <c r="W48" i="8"/>
  <c r="V48" i="8"/>
  <c r="O49" i="8"/>
  <c r="P51" i="8"/>
  <c r="C51" i="8"/>
  <c r="Q48" i="8"/>
  <c r="U48" i="8"/>
  <c r="R52" i="8"/>
  <c r="A53" i="8"/>
  <c r="B52" i="8"/>
  <c r="D50" i="8"/>
  <c r="I50" i="8"/>
  <c r="G50" i="8"/>
  <c r="M50" i="8"/>
  <c r="K50" i="8"/>
  <c r="F50" i="8"/>
  <c r="H50" i="8"/>
  <c r="E50" i="8"/>
  <c r="S50" i="8" l="1"/>
  <c r="T50" i="8"/>
  <c r="V49" i="8"/>
  <c r="W49" i="8"/>
  <c r="P52" i="8"/>
  <c r="C52" i="8"/>
  <c r="E51" i="8"/>
  <c r="M51" i="8"/>
  <c r="G51" i="8"/>
  <c r="K51" i="8"/>
  <c r="F51" i="8"/>
  <c r="D51" i="8"/>
  <c r="H51" i="8"/>
  <c r="I51" i="8"/>
  <c r="O50" i="8"/>
  <c r="R53" i="8"/>
  <c r="A54" i="8"/>
  <c r="B53" i="8"/>
  <c r="U49" i="8"/>
  <c r="Q49" i="8"/>
  <c r="S51" i="8" l="1"/>
  <c r="T51" i="8"/>
  <c r="Q50" i="8"/>
  <c r="U50" i="8"/>
  <c r="O51" i="8"/>
  <c r="H52" i="8"/>
  <c r="G52" i="8"/>
  <c r="K52" i="8"/>
  <c r="F52" i="8"/>
  <c r="M52" i="8"/>
  <c r="E52" i="8"/>
  <c r="I52" i="8"/>
  <c r="D52" i="8"/>
  <c r="R54" i="8"/>
  <c r="A55" i="8"/>
  <c r="B54" i="8"/>
  <c r="C53" i="8"/>
  <c r="P53" i="8"/>
  <c r="V50" i="8"/>
  <c r="W50" i="8"/>
  <c r="T52" i="8" l="1"/>
  <c r="S52" i="8"/>
  <c r="V51" i="8"/>
  <c r="U51" i="8"/>
  <c r="Q51" i="8"/>
  <c r="W51" i="8"/>
  <c r="R55" i="8"/>
  <c r="B55" i="8"/>
  <c r="A56" i="8"/>
  <c r="I53" i="8"/>
  <c r="F53" i="8"/>
  <c r="H53" i="8"/>
  <c r="D53" i="8"/>
  <c r="G53" i="8"/>
  <c r="E53" i="8"/>
  <c r="M53" i="8"/>
  <c r="K53" i="8"/>
  <c r="C54" i="8"/>
  <c r="P54" i="8"/>
  <c r="O52" i="8"/>
  <c r="T53" i="8" l="1"/>
  <c r="S53" i="8"/>
  <c r="O53" i="8"/>
  <c r="P55" i="8"/>
  <c r="C55" i="8"/>
  <c r="W52" i="8"/>
  <c r="Q52" i="8"/>
  <c r="U52" i="8"/>
  <c r="E54" i="8"/>
  <c r="D54" i="8"/>
  <c r="F54" i="8"/>
  <c r="M54" i="8"/>
  <c r="H54" i="8"/>
  <c r="G54" i="8"/>
  <c r="I54" i="8"/>
  <c r="K54" i="8"/>
  <c r="V52" i="8"/>
  <c r="R56" i="8"/>
  <c r="A57" i="8"/>
  <c r="B56" i="8"/>
  <c r="T54" i="8" l="1"/>
  <c r="S54" i="8"/>
  <c r="V53" i="8"/>
  <c r="R57" i="8"/>
  <c r="A58" i="8"/>
  <c r="B57" i="8"/>
  <c r="K55" i="8"/>
  <c r="H55" i="8"/>
  <c r="M55" i="8"/>
  <c r="G55" i="8"/>
  <c r="F55" i="8"/>
  <c r="I55" i="8"/>
  <c r="E55" i="8"/>
  <c r="D55" i="8"/>
  <c r="O54" i="8"/>
  <c r="P56" i="8"/>
  <c r="C56" i="8"/>
  <c r="U53" i="8"/>
  <c r="W53" i="8"/>
  <c r="Q53" i="8"/>
  <c r="S55" i="8" l="1"/>
  <c r="T55" i="8"/>
  <c r="V54" i="8"/>
  <c r="I56" i="8"/>
  <c r="D56" i="8"/>
  <c r="K56" i="8"/>
  <c r="E56" i="8"/>
  <c r="G56" i="8"/>
  <c r="H56" i="8"/>
  <c r="M56" i="8"/>
  <c r="F56" i="8"/>
  <c r="C57" i="8"/>
  <c r="P57" i="8"/>
  <c r="R58" i="8"/>
  <c r="A59" i="8"/>
  <c r="B58" i="8"/>
  <c r="O55" i="8"/>
  <c r="U54" i="8"/>
  <c r="Q54" i="8"/>
  <c r="W54" i="8"/>
  <c r="S56" i="8" l="1"/>
  <c r="T56" i="8"/>
  <c r="M57" i="8"/>
  <c r="E57" i="8"/>
  <c r="K57" i="8"/>
  <c r="F57" i="8"/>
  <c r="H57" i="8"/>
  <c r="G57" i="8"/>
  <c r="I57" i="8"/>
  <c r="D57" i="8"/>
  <c r="V55" i="8"/>
  <c r="O56" i="8"/>
  <c r="Q55" i="8"/>
  <c r="U55" i="8"/>
  <c r="P58" i="8"/>
  <c r="C58" i="8"/>
  <c r="R59" i="8"/>
  <c r="A60" i="8"/>
  <c r="B59" i="8"/>
  <c r="W55" i="8"/>
  <c r="S57" i="8" l="1"/>
  <c r="T57" i="8"/>
  <c r="W56" i="8"/>
  <c r="V56" i="8"/>
  <c r="R60" i="8"/>
  <c r="B60" i="8"/>
  <c r="A61" i="8"/>
  <c r="I58" i="8"/>
  <c r="F58" i="8"/>
  <c r="D58" i="8"/>
  <c r="H58" i="8"/>
  <c r="G58" i="8"/>
  <c r="K58" i="8"/>
  <c r="E58" i="8"/>
  <c r="M58" i="8"/>
  <c r="C59" i="8"/>
  <c r="P59" i="8"/>
  <c r="Q56" i="8"/>
  <c r="U56" i="8"/>
  <c r="O57" i="8"/>
  <c r="T58" i="8" l="1"/>
  <c r="S58" i="8"/>
  <c r="R61" i="8"/>
  <c r="A62" i="8"/>
  <c r="B61" i="8"/>
  <c r="U57" i="8"/>
  <c r="Q57" i="8"/>
  <c r="C60" i="8"/>
  <c r="P60" i="8"/>
  <c r="I59" i="8"/>
  <c r="M59" i="8"/>
  <c r="G59" i="8"/>
  <c r="D59" i="8"/>
  <c r="K59" i="8"/>
  <c r="E59" i="8"/>
  <c r="H59" i="8"/>
  <c r="F59" i="8"/>
  <c r="O58" i="8"/>
  <c r="V57" i="8"/>
  <c r="W57" i="8"/>
  <c r="S59" i="8" l="1"/>
  <c r="T59" i="8"/>
  <c r="V58" i="8"/>
  <c r="K60" i="8"/>
  <c r="I60" i="8"/>
  <c r="M60" i="8"/>
  <c r="H60" i="8"/>
  <c r="G60" i="8"/>
  <c r="D60" i="8"/>
  <c r="F60" i="8"/>
  <c r="E60" i="8"/>
  <c r="P61" i="8"/>
  <c r="C61" i="8"/>
  <c r="U58" i="8"/>
  <c r="Q58" i="8"/>
  <c r="W58" i="8"/>
  <c r="R62" i="8"/>
  <c r="B62" i="8"/>
  <c r="A63" i="8"/>
  <c r="O59" i="8"/>
  <c r="T60" i="8" l="1"/>
  <c r="S60" i="8"/>
  <c r="V59" i="8"/>
  <c r="D61" i="8"/>
  <c r="K61" i="8"/>
  <c r="M61" i="8"/>
  <c r="I61" i="8"/>
  <c r="G61" i="8"/>
  <c r="E61" i="8"/>
  <c r="F61" i="8"/>
  <c r="H61" i="8"/>
  <c r="R63" i="8"/>
  <c r="A64" i="8"/>
  <c r="B63" i="8"/>
  <c r="O60" i="8"/>
  <c r="P62" i="8"/>
  <c r="C62" i="8"/>
  <c r="U59" i="8"/>
  <c r="Q59" i="8"/>
  <c r="W59" i="8"/>
  <c r="S61" i="8" l="1"/>
  <c r="T61" i="8"/>
  <c r="C63" i="8"/>
  <c r="P63" i="8"/>
  <c r="R64" i="8"/>
  <c r="A65" i="8"/>
  <c r="B64" i="8"/>
  <c r="M62" i="8"/>
  <c r="H62" i="8"/>
  <c r="E62" i="8"/>
  <c r="K62" i="8"/>
  <c r="I62" i="8"/>
  <c r="G62" i="8"/>
  <c r="D62" i="8"/>
  <c r="F62" i="8"/>
  <c r="Q60" i="8"/>
  <c r="U60" i="8"/>
  <c r="O61" i="8"/>
  <c r="V60" i="8"/>
  <c r="W60" i="8"/>
  <c r="S62" i="8" l="1"/>
  <c r="T62" i="8"/>
  <c r="V61" i="8"/>
  <c r="Q61" i="8"/>
  <c r="U61" i="8"/>
  <c r="P64" i="8"/>
  <c r="C64" i="8"/>
  <c r="R65" i="8"/>
  <c r="B65" i="8"/>
  <c r="A66" i="8"/>
  <c r="W61" i="8"/>
  <c r="O62" i="8"/>
  <c r="H63" i="8"/>
  <c r="I63" i="8"/>
  <c r="E63" i="8"/>
  <c r="G63" i="8"/>
  <c r="D63" i="8"/>
  <c r="K63" i="8"/>
  <c r="M63" i="8"/>
  <c r="F63" i="8"/>
  <c r="T63" i="8" l="1"/>
  <c r="S63" i="8"/>
  <c r="W62" i="8"/>
  <c r="V62" i="8"/>
  <c r="C65" i="8"/>
  <c r="P65" i="8"/>
  <c r="O63" i="8"/>
  <c r="E64" i="8"/>
  <c r="D64" i="8"/>
  <c r="H64" i="8"/>
  <c r="G64" i="8"/>
  <c r="K64" i="8"/>
  <c r="I64" i="8"/>
  <c r="F64" i="8"/>
  <c r="M64" i="8"/>
  <c r="R66" i="8"/>
  <c r="B66" i="8"/>
  <c r="A67" i="8"/>
  <c r="Q62" i="8"/>
  <c r="U62" i="8"/>
  <c r="T64" i="8" l="1"/>
  <c r="S64" i="8"/>
  <c r="V63" i="8"/>
  <c r="U63" i="8"/>
  <c r="Q63" i="8"/>
  <c r="P66" i="8"/>
  <c r="C66" i="8"/>
  <c r="R67" i="8"/>
  <c r="A68" i="8"/>
  <c r="B67" i="8"/>
  <c r="I65" i="8"/>
  <c r="M65" i="8"/>
  <c r="F65" i="8"/>
  <c r="E65" i="8"/>
  <c r="G65" i="8"/>
  <c r="K65" i="8"/>
  <c r="H65" i="8"/>
  <c r="D65" i="8"/>
  <c r="O64" i="8"/>
  <c r="W63" i="8"/>
  <c r="S65" i="8" l="1"/>
  <c r="T65" i="8"/>
  <c r="R68" i="8"/>
  <c r="B68" i="8"/>
  <c r="A69" i="8"/>
  <c r="Q64" i="8"/>
  <c r="U64" i="8"/>
  <c r="O65" i="8"/>
  <c r="D66" i="8"/>
  <c r="E66" i="8"/>
  <c r="G66" i="8"/>
  <c r="I66" i="8"/>
  <c r="K66" i="8"/>
  <c r="M66" i="8"/>
  <c r="F66" i="8"/>
  <c r="H66" i="8"/>
  <c r="V64" i="8"/>
  <c r="C67" i="8"/>
  <c r="P67" i="8"/>
  <c r="W64" i="8"/>
  <c r="T66" i="8" l="1"/>
  <c r="S66" i="8"/>
  <c r="W65" i="8"/>
  <c r="V65" i="8"/>
  <c r="R69" i="8"/>
  <c r="B69" i="8"/>
  <c r="A70" i="8"/>
  <c r="O66" i="8"/>
  <c r="C68" i="8"/>
  <c r="P68" i="8"/>
  <c r="E67" i="8"/>
  <c r="I67" i="8"/>
  <c r="F67" i="8"/>
  <c r="K67" i="8"/>
  <c r="G67" i="8"/>
  <c r="M67" i="8"/>
  <c r="H67" i="8"/>
  <c r="D67" i="8"/>
  <c r="U65" i="8"/>
  <c r="Q65" i="8"/>
  <c r="S67" i="8" l="1"/>
  <c r="T67" i="8"/>
  <c r="U66" i="8"/>
  <c r="Q66" i="8"/>
  <c r="V66" i="8"/>
  <c r="O67" i="8"/>
  <c r="R70" i="8"/>
  <c r="A71" i="8"/>
  <c r="B70" i="8"/>
  <c r="C69" i="8"/>
  <c r="P69" i="8"/>
  <c r="I68" i="8"/>
  <c r="D68" i="8"/>
  <c r="H68" i="8"/>
  <c r="E68" i="8"/>
  <c r="M68" i="8"/>
  <c r="K68" i="8"/>
  <c r="G68" i="8"/>
  <c r="F68" i="8"/>
  <c r="W66" i="8"/>
  <c r="T68" i="8" l="1"/>
  <c r="S68" i="8"/>
  <c r="Q67" i="8"/>
  <c r="U67" i="8"/>
  <c r="H69" i="8"/>
  <c r="D69" i="8"/>
  <c r="E69" i="8"/>
  <c r="F69" i="8"/>
  <c r="K69" i="8"/>
  <c r="I69" i="8"/>
  <c r="G69" i="8"/>
  <c r="M69" i="8"/>
  <c r="V67" i="8"/>
  <c r="W67" i="8"/>
  <c r="P70" i="8"/>
  <c r="C70" i="8"/>
  <c r="O68" i="8"/>
  <c r="R71" i="8"/>
  <c r="A72" i="8"/>
  <c r="B71" i="8"/>
  <c r="T69" i="8" l="1"/>
  <c r="S69" i="8"/>
  <c r="O69" i="8"/>
  <c r="Q68" i="8"/>
  <c r="U68" i="8"/>
  <c r="I70" i="8"/>
  <c r="F70" i="8"/>
  <c r="K70" i="8"/>
  <c r="G70" i="8"/>
  <c r="D70" i="8"/>
  <c r="M70" i="8"/>
  <c r="H70" i="8"/>
  <c r="E70" i="8"/>
  <c r="C71" i="8"/>
  <c r="P71" i="8"/>
  <c r="V68" i="8"/>
  <c r="R72" i="8"/>
  <c r="B72" i="8"/>
  <c r="A73" i="8"/>
  <c r="W68" i="8"/>
  <c r="T70" i="8" l="1"/>
  <c r="S70" i="8"/>
  <c r="W69" i="8"/>
  <c r="V69" i="8"/>
  <c r="O70" i="8"/>
  <c r="E71" i="8"/>
  <c r="H71" i="8"/>
  <c r="K71" i="8"/>
  <c r="D71" i="8"/>
  <c r="M71" i="8"/>
  <c r="I71" i="8"/>
  <c r="G71" i="8"/>
  <c r="F71" i="8"/>
  <c r="P72" i="8"/>
  <c r="C72" i="8"/>
  <c r="B73" i="8"/>
  <c r="R73" i="8"/>
  <c r="Q69" i="8"/>
  <c r="U69" i="8"/>
  <c r="T71" i="8" l="1"/>
  <c r="S71" i="8"/>
  <c r="Q70" i="8"/>
  <c r="U70" i="8"/>
  <c r="V70" i="8"/>
  <c r="P73" i="8"/>
  <c r="C73" i="8"/>
  <c r="I72" i="8"/>
  <c r="H72" i="8"/>
  <c r="K72" i="8"/>
  <c r="G72" i="8"/>
  <c r="M72" i="8"/>
  <c r="F72" i="8"/>
  <c r="D72" i="8"/>
  <c r="E72" i="8"/>
  <c r="O71" i="8"/>
  <c r="W70" i="8"/>
  <c r="S72" i="8" l="1"/>
  <c r="T72" i="8"/>
  <c r="V71" i="8"/>
  <c r="G73" i="8"/>
  <c r="H73" i="8"/>
  <c r="D73" i="8"/>
  <c r="M73" i="8"/>
  <c r="I73" i="8"/>
  <c r="E73" i="8"/>
  <c r="F73" i="8"/>
  <c r="K73" i="8"/>
  <c r="U71" i="8"/>
  <c r="Q71" i="8"/>
  <c r="O72" i="8"/>
  <c r="W71" i="8"/>
  <c r="S73" i="8" l="1"/>
  <c r="T73" i="8"/>
  <c r="W72" i="8"/>
  <c r="V72" i="8"/>
  <c r="O73" i="8"/>
  <c r="U72" i="8"/>
  <c r="Q72" i="8"/>
  <c r="W73" i="8" l="1"/>
  <c r="V73" i="8"/>
  <c r="U73" i="8"/>
  <c r="Q73" i="8"/>
  <c r="X23" i="8" s="1"/>
  <c r="Y23" i="8" s="1"/>
</calcChain>
</file>

<file path=xl/sharedStrings.xml><?xml version="1.0" encoding="utf-8"?>
<sst xmlns="http://schemas.openxmlformats.org/spreadsheetml/2006/main" count="165" uniqueCount="130">
  <si>
    <t>V</t>
  </si>
  <si>
    <t>Input Voltage</t>
  </si>
  <si>
    <t>Output Voltage</t>
  </si>
  <si>
    <t>Duty</t>
  </si>
  <si>
    <t>Calculated Duty Cycle</t>
  </si>
  <si>
    <t>Rdson_up</t>
  </si>
  <si>
    <t>mΩ</t>
  </si>
  <si>
    <t>Rdson_down</t>
  </si>
  <si>
    <t>L_dcr</t>
  </si>
  <si>
    <t>Inductor DCR</t>
  </si>
  <si>
    <t>Fsw</t>
  </si>
  <si>
    <t>kHz</t>
  </si>
  <si>
    <t>Total High Side Rdson</t>
  </si>
  <si>
    <t>Total Low Side Rdson</t>
  </si>
  <si>
    <t>Switching Frequency</t>
  </si>
  <si>
    <t>%</t>
  </si>
  <si>
    <t>Rohm App Note Efficiency Calculation of Buck Converter</t>
  </si>
  <si>
    <t>L</t>
  </si>
  <si>
    <t>uH</t>
  </si>
  <si>
    <t>Power Inductor</t>
  </si>
  <si>
    <t>Iout (A) RMS</t>
  </si>
  <si>
    <t>I_delta_on</t>
  </si>
  <si>
    <t>I_delta_off</t>
  </si>
  <si>
    <t>Ton</t>
  </si>
  <si>
    <t>Toff</t>
  </si>
  <si>
    <t>ns</t>
  </si>
  <si>
    <t>Buck On Time</t>
  </si>
  <si>
    <t>Buck Off Time</t>
  </si>
  <si>
    <t>A</t>
  </si>
  <si>
    <t xml:space="preserve">A </t>
  </si>
  <si>
    <t>Iout_max</t>
  </si>
  <si>
    <t>Max Load Current</t>
  </si>
  <si>
    <t>Ipk_pk/Iout</t>
  </si>
  <si>
    <t>Inductor Ripple to Max Current Ratio</t>
  </si>
  <si>
    <t>Factor</t>
  </si>
  <si>
    <t>High Side FET Pd (W)</t>
  </si>
  <si>
    <t>Low Side FET Pd (W)</t>
  </si>
  <si>
    <t>tr-H</t>
  </si>
  <si>
    <t>tf-H</t>
  </si>
  <si>
    <t>tr-L</t>
  </si>
  <si>
    <t>High Side FET Rise time</t>
  </si>
  <si>
    <t>High Side FET Fall time</t>
  </si>
  <si>
    <t>Low Side FET Rise time</t>
  </si>
  <si>
    <t>Low Side FET Fall time</t>
  </si>
  <si>
    <t>High Side FET Switch Pd (W)</t>
  </si>
  <si>
    <t>Low Side FET Switch Pd (W)</t>
  </si>
  <si>
    <t>Coss-H</t>
  </si>
  <si>
    <t>Coss-L</t>
  </si>
  <si>
    <t>pF</t>
  </si>
  <si>
    <t>FET Coss Switch Pd (W)</t>
  </si>
  <si>
    <t>Vsd-L</t>
  </si>
  <si>
    <t>Dead Time Pd (W)</t>
  </si>
  <si>
    <t>tdt_H</t>
  </si>
  <si>
    <t>tdt_L</t>
  </si>
  <si>
    <t>High to Low dead time</t>
  </si>
  <si>
    <t>Low to High dead time</t>
  </si>
  <si>
    <t>Qg_H</t>
  </si>
  <si>
    <t>Qg_L</t>
  </si>
  <si>
    <t>nC</t>
  </si>
  <si>
    <t>Gate Charge Pd (W)</t>
  </si>
  <si>
    <t>Vgs</t>
  </si>
  <si>
    <t>FET Gate Voltage</t>
  </si>
  <si>
    <t>Cout ESR</t>
  </si>
  <si>
    <t>Cin ESR</t>
  </si>
  <si>
    <t>Output capacitor total ESR</t>
  </si>
  <si>
    <t>Input capacitor total ESR</t>
  </si>
  <si>
    <t>Cap ESR Pd (W)</t>
  </si>
  <si>
    <t>Total Pd (W)</t>
  </si>
  <si>
    <t>Pout (W)</t>
  </si>
  <si>
    <t>Efficiency (%)</t>
  </si>
  <si>
    <t>Sense Resistor</t>
  </si>
  <si>
    <t>Conduction Pd (W)</t>
  </si>
  <si>
    <t>Switching
 Pd (W)</t>
  </si>
  <si>
    <t>Conduction Pd (%)</t>
  </si>
  <si>
    <t>Switching Pd (%)</t>
  </si>
  <si>
    <t>Inductor Up Ramp</t>
  </si>
  <si>
    <t xml:space="preserve">Inductor Down Ramp </t>
  </si>
  <si>
    <t>I_dc_ctrl</t>
  </si>
  <si>
    <t>mA</t>
  </si>
  <si>
    <t>V_dc_ctrl</t>
  </si>
  <si>
    <t>Peak Eff (%)</t>
  </si>
  <si>
    <t>Ctrl/Drv Bias Pd (W)</t>
  </si>
  <si>
    <t>Ctrl/Drv Bias Pd (%)</t>
  </si>
  <si>
    <t>L_ac</t>
  </si>
  <si>
    <t>AC Core Loss</t>
  </si>
  <si>
    <t>mW</t>
  </si>
  <si>
    <t>Inductors</t>
  </si>
  <si>
    <t>Manufacturer</t>
  </si>
  <si>
    <t>Value (uH)</t>
  </si>
  <si>
    <t>L_DCR (mΩ)</t>
  </si>
  <si>
    <t>Inductor</t>
  </si>
  <si>
    <t>Coilcraft</t>
  </si>
  <si>
    <t>P/N</t>
  </si>
  <si>
    <t>L_ac 500kHz core loss (mW)</t>
  </si>
  <si>
    <t>L_ac 800kHz core loss (mW)</t>
  </si>
  <si>
    <t>L_ac 1MHz core loss (mW)</t>
  </si>
  <si>
    <t># of high side FETs</t>
  </si>
  <si>
    <t># of low side FETs</t>
  </si>
  <si>
    <t>L_DCR + AC Pd (W)</t>
  </si>
  <si>
    <t>Rsense Pd (W)</t>
  </si>
  <si>
    <t>L_ac 300kHz core loss (mW)</t>
  </si>
  <si>
    <t>Freq (kHz)</t>
  </si>
  <si>
    <t>Input Data Into Green Cells; Some cells are drop down menus</t>
  </si>
  <si>
    <t># of phases</t>
  </si>
  <si>
    <t>PVIN</t>
  </si>
  <si>
    <t>VOUT</t>
  </si>
  <si>
    <t>Iout @ Peak Eff (A)</t>
  </si>
  <si>
    <t xml:space="preserve">Iout Avg (A) </t>
  </si>
  <si>
    <t>Iout Avg (A)</t>
  </si>
  <si>
    <t>Low Side FET Source-Drain Voltage</t>
  </si>
  <si>
    <t>Estimate core loss (mW) *Note</t>
  </si>
  <si>
    <t>*Note: Estimated AC core loss is estimated by using polynomial curve fit of Coilcraft website calculator data</t>
  </si>
  <si>
    <t>XGL4020 - 0.82uH</t>
  </si>
  <si>
    <t>XEL5050 - 4.7uH</t>
  </si>
  <si>
    <t>XEL5050 - 5.6uH</t>
  </si>
  <si>
    <t xml:space="preserve">*Note: Core loss  data for Coilcraft inductors are taken from Coilcraft website calculator for 2Arms and 30% ripple </t>
  </si>
  <si>
    <t>Revision</t>
  </si>
  <si>
    <t>Date</t>
  </si>
  <si>
    <t>Notes</t>
  </si>
  <si>
    <t>Initial Version</t>
  </si>
  <si>
    <t>Fsw (kHz)</t>
  </si>
  <si>
    <t>I_VIN (mA)</t>
  </si>
  <si>
    <t>PVIN=3V</t>
  </si>
  <si>
    <t>PVIN=12V</t>
  </si>
  <si>
    <t>PVIN=18V</t>
  </si>
  <si>
    <t>Gray cells are not to be changed.  They represent switching loss of ISL73007.</t>
  </si>
  <si>
    <t>IC Supply Voltage</t>
  </si>
  <si>
    <t>IC Operating Current</t>
  </si>
  <si>
    <t>FET Qg modeled in Idc_ctrl cell G20</t>
  </si>
  <si>
    <t>Coss loss modeled in Idc_ctrl cell G20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</si>
</sst>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00000"/>
    <numFmt numFmtId="167" formatCode="0.0"/>
    <numFmt numFmtId="168" formatCode="0.00000"/>
  </numFmts>
  <fonts count="2" x14ac:knownFonts="1">
    <font>
      <sz val="11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/>
    </xf>
    <xf numFmtId="168" fontId="0" fillId="0" borderId="0" xfId="0" applyNumberFormat="1"/>
    <xf numFmtId="0" fontId="0" fillId="2" borderId="1" xfId="0" applyFill="1" applyBorder="1"/>
    <xf numFmtId="2" fontId="0" fillId="3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2" fontId="0" fillId="0" borderId="1" xfId="0" applyNumberFormat="1" applyBorder="1"/>
    <xf numFmtId="167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5" borderId="1" xfId="0" applyFill="1" applyBorder="1"/>
    <xf numFmtId="0" fontId="0" fillId="5" borderId="0" xfId="0" applyFill="1"/>
    <xf numFmtId="0" fontId="0" fillId="6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Buck Efficiency vs Load Current Calculator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GaN FET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Efficiency!$B$23:$B$73</c:f>
              <c:numCache>
                <c:formatCode>General</c:formatCode>
                <c:ptCount val="51"/>
                <c:pt idx="0">
                  <c:v>0</c:v>
                </c:pt>
                <c:pt idx="1">
                  <c:v>0.06</c:v>
                </c:pt>
                <c:pt idx="2">
                  <c:v>0.12</c:v>
                </c:pt>
                <c:pt idx="3">
                  <c:v>0.18</c:v>
                </c:pt>
                <c:pt idx="4">
                  <c:v>0.24</c:v>
                </c:pt>
                <c:pt idx="5">
                  <c:v>0.3</c:v>
                </c:pt>
                <c:pt idx="6">
                  <c:v>0.36</c:v>
                </c:pt>
                <c:pt idx="7">
                  <c:v>0.42</c:v>
                </c:pt>
                <c:pt idx="8">
                  <c:v>0.48</c:v>
                </c:pt>
                <c:pt idx="9">
                  <c:v>0.54</c:v>
                </c:pt>
                <c:pt idx="10">
                  <c:v>0.6</c:v>
                </c:pt>
                <c:pt idx="11">
                  <c:v>0.66</c:v>
                </c:pt>
                <c:pt idx="12">
                  <c:v>0.72</c:v>
                </c:pt>
                <c:pt idx="13">
                  <c:v>0.78</c:v>
                </c:pt>
                <c:pt idx="14">
                  <c:v>0.84</c:v>
                </c:pt>
                <c:pt idx="15">
                  <c:v>0.9</c:v>
                </c:pt>
                <c:pt idx="16">
                  <c:v>0.96</c:v>
                </c:pt>
                <c:pt idx="17">
                  <c:v>1.02</c:v>
                </c:pt>
                <c:pt idx="18">
                  <c:v>1.08</c:v>
                </c:pt>
                <c:pt idx="19">
                  <c:v>1.1399999999999999</c:v>
                </c:pt>
                <c:pt idx="20">
                  <c:v>1.2</c:v>
                </c:pt>
                <c:pt idx="21">
                  <c:v>1.26</c:v>
                </c:pt>
                <c:pt idx="22">
                  <c:v>1.32</c:v>
                </c:pt>
                <c:pt idx="23">
                  <c:v>1.38</c:v>
                </c:pt>
                <c:pt idx="24">
                  <c:v>1.44</c:v>
                </c:pt>
                <c:pt idx="25">
                  <c:v>1.5</c:v>
                </c:pt>
                <c:pt idx="26">
                  <c:v>1.56</c:v>
                </c:pt>
                <c:pt idx="27">
                  <c:v>1.62</c:v>
                </c:pt>
                <c:pt idx="28">
                  <c:v>1.68</c:v>
                </c:pt>
                <c:pt idx="29">
                  <c:v>1.74</c:v>
                </c:pt>
                <c:pt idx="30">
                  <c:v>1.8</c:v>
                </c:pt>
                <c:pt idx="31">
                  <c:v>1.86</c:v>
                </c:pt>
                <c:pt idx="32">
                  <c:v>1.92</c:v>
                </c:pt>
                <c:pt idx="33">
                  <c:v>1.98</c:v>
                </c:pt>
                <c:pt idx="34">
                  <c:v>2.04</c:v>
                </c:pt>
                <c:pt idx="35">
                  <c:v>2.1</c:v>
                </c:pt>
                <c:pt idx="36">
                  <c:v>2.16</c:v>
                </c:pt>
                <c:pt idx="37">
                  <c:v>2.2200000000000002</c:v>
                </c:pt>
                <c:pt idx="38">
                  <c:v>2.2799999999999998</c:v>
                </c:pt>
                <c:pt idx="39">
                  <c:v>2.34</c:v>
                </c:pt>
                <c:pt idx="40">
                  <c:v>2.4</c:v>
                </c:pt>
                <c:pt idx="41">
                  <c:v>2.46</c:v>
                </c:pt>
                <c:pt idx="42">
                  <c:v>2.52</c:v>
                </c:pt>
                <c:pt idx="43">
                  <c:v>2.58</c:v>
                </c:pt>
                <c:pt idx="44">
                  <c:v>2.64</c:v>
                </c:pt>
                <c:pt idx="45">
                  <c:v>2.7</c:v>
                </c:pt>
                <c:pt idx="46">
                  <c:v>2.76</c:v>
                </c:pt>
                <c:pt idx="47">
                  <c:v>2.82</c:v>
                </c:pt>
                <c:pt idx="48">
                  <c:v>2.88</c:v>
                </c:pt>
                <c:pt idx="49">
                  <c:v>2.94</c:v>
                </c:pt>
                <c:pt idx="50">
                  <c:v>3</c:v>
                </c:pt>
              </c:numCache>
            </c:numRef>
          </c:xVal>
          <c:yVal>
            <c:numRef>
              <c:f>Efficiency!$Q$23:$Q$73</c:f>
              <c:numCache>
                <c:formatCode>0.00</c:formatCode>
                <c:ptCount val="51"/>
                <c:pt idx="0">
                  <c:v>0</c:v>
                </c:pt>
                <c:pt idx="1">
                  <c:v>54.122871269613611</c:v>
                </c:pt>
                <c:pt idx="2">
                  <c:v>70.105916775277109</c:v>
                </c:pt>
                <c:pt idx="3">
                  <c:v>77.695734470727203</c:v>
                </c:pt>
                <c:pt idx="4">
                  <c:v>82.092399610173089</c:v>
                </c:pt>
                <c:pt idx="5">
                  <c:v>84.938450137401503</c:v>
                </c:pt>
                <c:pt idx="6">
                  <c:v>86.916254908022495</c:v>
                </c:pt>
                <c:pt idx="7">
                  <c:v>88.359755465038432</c:v>
                </c:pt>
                <c:pt idx="8">
                  <c:v>89.451462867395463</c:v>
                </c:pt>
                <c:pt idx="9">
                  <c:v>90.299444322726089</c:v>
                </c:pt>
                <c:pt idx="10">
                  <c:v>90.971713803074579</c:v>
                </c:pt>
                <c:pt idx="11">
                  <c:v>91.513188774790635</c:v>
                </c:pt>
                <c:pt idx="12">
                  <c:v>91.954713985965043</c:v>
                </c:pt>
                <c:pt idx="13">
                  <c:v>92.318165655579222</c:v>
                </c:pt>
                <c:pt idx="14">
                  <c:v>92.619486622127937</c:v>
                </c:pt>
                <c:pt idx="15">
                  <c:v>92.870568207945951</c:v>
                </c:pt>
                <c:pt idx="16">
                  <c:v>93.080459195124675</c:v>
                </c:pt>
                <c:pt idx="17">
                  <c:v>93.256166613213949</c:v>
                </c:pt>
                <c:pt idx="18">
                  <c:v>93.403200445743266</c:v>
                </c:pt>
                <c:pt idx="19">
                  <c:v>93.52595289880415</c:v>
                </c:pt>
                <c:pt idx="20">
                  <c:v>93.627967993532735</c:v>
                </c:pt>
                <c:pt idx="21">
                  <c:v>93.712136762977465</c:v>
                </c:pt>
                <c:pt idx="22">
                  <c:v>93.780840939959248</c:v>
                </c:pt>
                <c:pt idx="23">
                  <c:v>93.836060318497601</c:v>
                </c:pt>
                <c:pt idx="24">
                  <c:v>93.879454065756192</c:v>
                </c:pt>
                <c:pt idx="25">
                  <c:v>93.912423069079992</c:v>
                </c:pt>
                <c:pt idx="26">
                  <c:v>93.936158283824028</c:v>
                </c:pt>
                <c:pt idx="27">
                  <c:v>93.951678615796069</c:v>
                </c:pt>
                <c:pt idx="28">
                  <c:v>93.95986088844856</c:v>
                </c:pt>
                <c:pt idx="29">
                  <c:v>93.961463758869499</c:v>
                </c:pt>
                <c:pt idx="30">
                  <c:v>93.957146961381397</c:v>
                </c:pt>
                <c:pt idx="31">
                  <c:v>93.947486909905905</c:v>
                </c:pt>
                <c:pt idx="32">
                  <c:v>93.932989438180797</c:v>
                </c:pt>
                <c:pt idx="33">
                  <c:v>93.914100272094174</c:v>
                </c:pt>
                <c:pt idx="34">
                  <c:v>93.891213691475954</c:v>
                </c:pt>
                <c:pt idx="35">
                  <c:v>93.864679736254075</c:v>
                </c:pt>
                <c:pt idx="36">
                  <c:v>93.83481023455208</c:v>
                </c:pt>
                <c:pt idx="37">
                  <c:v>93.801883871425659</c:v>
                </c:pt>
                <c:pt idx="38">
                  <c:v>93.766150471740275</c:v>
                </c:pt>
                <c:pt idx="39">
                  <c:v>93.727834635739924</c:v>
                </c:pt>
                <c:pt idx="40">
                  <c:v>93.687138838629068</c:v>
                </c:pt>
                <c:pt idx="41">
                  <c:v>93.644246084137279</c:v>
                </c:pt>
                <c:pt idx="42">
                  <c:v>93.599322185182615</c:v>
                </c:pt>
                <c:pt idx="43">
                  <c:v>93.552517731366407</c:v>
                </c:pt>
                <c:pt idx="44">
                  <c:v>93.503969792342062</c:v>
                </c:pt>
                <c:pt idx="45">
                  <c:v>93.45380339751685</c:v>
                </c:pt>
                <c:pt idx="46">
                  <c:v>93.402132825614544</c:v>
                </c:pt>
                <c:pt idx="47">
                  <c:v>93.349062732003446</c:v>
                </c:pt>
                <c:pt idx="48">
                  <c:v>93.294689137111405</c:v>
                </c:pt>
                <c:pt idx="49">
                  <c:v>93.23910029549458</c:v>
                </c:pt>
                <c:pt idx="50">
                  <c:v>93.182377462039341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60-4896-8283-4AC424BF8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0284272"/>
        <c:axId val="940282960"/>
      </c:scatterChart>
      <c:valAx>
        <c:axId val="940284272"/>
        <c:scaling>
          <c:orientation val="minMax"/>
          <c:max val="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Current 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282960"/>
        <c:crosses val="autoZero"/>
        <c:crossBetween val="midCat"/>
      </c:valAx>
      <c:valAx>
        <c:axId val="940282960"/>
        <c:scaling>
          <c:orientation val="minMax"/>
          <c:max val="100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284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Bias, Conduction and Switch Loss as a Percentage (%) of Total Loss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Conduction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Efficiency!$B$23:$B$73</c15:sqref>
                  </c15:fullRef>
                </c:ext>
              </c:extLst>
              <c:f>(Efficiency!$B$23,Efficiency!$B$25,Efficiency!$B$27,Efficiency!$B$29,Efficiency!$B$31,Efficiency!$B$33,Efficiency!$B$35,Efficiency!$B$37,Efficiency!$B$39,Efficiency!$B$41,Efficiency!$B$43,Efficiency!$B$45,Efficiency!$B$47,Efficiency!$B$49,Efficiency!$B$51,Efficiency!$B$53,Efficiency!$B$55,Efficiency!$B$57,Efficiency!$B$59,Efficiency!$B$61,Efficiency!$B$63,Efficiency!$B$65,Efficiency!$B$67,Efficiency!$B$69,Efficiency!$B$71,Efficiency!$B$73)</c:f>
              <c:numCache>
                <c:formatCode>General</c:formatCode>
                <c:ptCount val="26"/>
                <c:pt idx="0">
                  <c:v>0</c:v>
                </c:pt>
                <c:pt idx="1">
                  <c:v>0.12</c:v>
                </c:pt>
                <c:pt idx="2">
                  <c:v>0.24</c:v>
                </c:pt>
                <c:pt idx="3">
                  <c:v>0.36</c:v>
                </c:pt>
                <c:pt idx="4">
                  <c:v>0.48</c:v>
                </c:pt>
                <c:pt idx="5">
                  <c:v>0.6</c:v>
                </c:pt>
                <c:pt idx="6">
                  <c:v>0.72</c:v>
                </c:pt>
                <c:pt idx="7">
                  <c:v>0.84</c:v>
                </c:pt>
                <c:pt idx="8">
                  <c:v>0.96</c:v>
                </c:pt>
                <c:pt idx="9">
                  <c:v>1.08</c:v>
                </c:pt>
                <c:pt idx="10">
                  <c:v>1.2</c:v>
                </c:pt>
                <c:pt idx="11">
                  <c:v>1.32</c:v>
                </c:pt>
                <c:pt idx="12">
                  <c:v>1.44</c:v>
                </c:pt>
                <c:pt idx="13">
                  <c:v>1.56</c:v>
                </c:pt>
                <c:pt idx="14">
                  <c:v>1.68</c:v>
                </c:pt>
                <c:pt idx="15">
                  <c:v>1.8</c:v>
                </c:pt>
                <c:pt idx="16">
                  <c:v>1.92</c:v>
                </c:pt>
                <c:pt idx="17">
                  <c:v>2.04</c:v>
                </c:pt>
                <c:pt idx="18">
                  <c:v>2.16</c:v>
                </c:pt>
                <c:pt idx="19">
                  <c:v>2.2799999999999998</c:v>
                </c:pt>
                <c:pt idx="20">
                  <c:v>2.4</c:v>
                </c:pt>
                <c:pt idx="21">
                  <c:v>2.52</c:v>
                </c:pt>
                <c:pt idx="22">
                  <c:v>2.64</c:v>
                </c:pt>
                <c:pt idx="23">
                  <c:v>2.76</c:v>
                </c:pt>
                <c:pt idx="24">
                  <c:v>2.88</c:v>
                </c:pt>
                <c:pt idx="25">
                  <c:v>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Efficiency!$V$23:$V$73</c15:sqref>
                  </c15:fullRef>
                </c:ext>
              </c:extLst>
              <c:f>(Efficiency!$V$23,Efficiency!$V$25,Efficiency!$V$27,Efficiency!$V$29,Efficiency!$V$31,Efficiency!$V$33,Efficiency!$V$35,Efficiency!$V$37,Efficiency!$V$39,Efficiency!$V$41,Efficiency!$V$43,Efficiency!$V$45,Efficiency!$V$47,Efficiency!$V$49,Efficiency!$V$51,Efficiency!$V$53,Efficiency!$V$55,Efficiency!$V$57,Efficiency!$V$59,Efficiency!$V$61,Efficiency!$V$63,Efficiency!$V$65,Efficiency!$V$67,Efficiency!$V$69,Efficiency!$V$71,Efficiency!$V$73)</c:f>
              <c:numCache>
                <c:formatCode>0.0</c:formatCode>
                <c:ptCount val="26"/>
                <c:pt idx="0">
                  <c:v>17.363662630866216</c:v>
                </c:pt>
                <c:pt idx="1">
                  <c:v>17.683930571982714</c:v>
                </c:pt>
                <c:pt idx="2">
                  <c:v>18.63699076893678</c:v>
                </c:pt>
                <c:pt idx="3">
                  <c:v>20.183231283271681</c:v>
                </c:pt>
                <c:pt idx="4">
                  <c:v>22.243028671009306</c:v>
                </c:pt>
                <c:pt idx="5">
                  <c:v>24.712769177479057</c:v>
                </c:pt>
                <c:pt idx="6">
                  <c:v>27.482840044070713</c:v>
                </c:pt>
                <c:pt idx="7">
                  <c:v>30.449684776693715</c:v>
                </c:pt>
                <c:pt idx="8">
                  <c:v>33.522505620251657</c:v>
                </c:pt>
                <c:pt idx="9">
                  <c:v>36.626144117181205</c:v>
                </c:pt>
                <c:pt idx="10">
                  <c:v>39.701424063326968</c:v>
                </c:pt>
                <c:pt idx="11">
                  <c:v>42.703963090723356</c:v>
                </c:pt>
                <c:pt idx="12">
                  <c:v>45.602202016376943</c:v>
                </c:pt>
                <c:pt idx="13">
                  <c:v>48.375167064666144</c:v>
                </c:pt>
                <c:pt idx="14">
                  <c:v>51.010284919413685</c:v>
                </c:pt>
                <c:pt idx="15">
                  <c:v>53.501423607478515</c:v>
                </c:pt>
                <c:pt idx="16">
                  <c:v>55.847231891975504</c:v>
                </c:pt>
                <c:pt idx="17">
                  <c:v>58.049787844912736</c:v>
                </c:pt>
                <c:pt idx="18">
                  <c:v>60.113533257607955</c:v>
                </c:pt>
                <c:pt idx="19">
                  <c:v>62.044455134789558</c:v>
                </c:pt>
                <c:pt idx="20">
                  <c:v>63.849471398916023</c:v>
                </c:pt>
                <c:pt idx="21">
                  <c:v>65.535979993771093</c:v>
                </c:pt>
                <c:pt idx="22">
                  <c:v>67.111535531984543</c:v>
                </c:pt>
                <c:pt idx="23">
                  <c:v>68.583623523919258</c:v>
                </c:pt>
                <c:pt idx="24">
                  <c:v>69.95950799311467</c:v>
                </c:pt>
                <c:pt idx="25">
                  <c:v>71.246133421999332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9-493C-A11B-0DFC24FB67F3}"/>
            </c:ext>
          </c:extLst>
        </c:ser>
        <c:ser>
          <c:idx val="1"/>
          <c:order val="1"/>
          <c:tx>
            <c:v>Switching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Efficiency!$B$23:$B$73</c15:sqref>
                  </c15:fullRef>
                </c:ext>
              </c:extLst>
              <c:f>(Efficiency!$B$23,Efficiency!$B$25,Efficiency!$B$27,Efficiency!$B$29,Efficiency!$B$31,Efficiency!$B$33,Efficiency!$B$35,Efficiency!$B$37,Efficiency!$B$39,Efficiency!$B$41,Efficiency!$B$43,Efficiency!$B$45,Efficiency!$B$47,Efficiency!$B$49,Efficiency!$B$51,Efficiency!$B$53,Efficiency!$B$55,Efficiency!$B$57,Efficiency!$B$59,Efficiency!$B$61,Efficiency!$B$63,Efficiency!$B$65,Efficiency!$B$67,Efficiency!$B$69,Efficiency!$B$71,Efficiency!$B$73)</c:f>
              <c:numCache>
                <c:formatCode>General</c:formatCode>
                <c:ptCount val="26"/>
                <c:pt idx="0">
                  <c:v>0</c:v>
                </c:pt>
                <c:pt idx="1">
                  <c:v>0.12</c:v>
                </c:pt>
                <c:pt idx="2">
                  <c:v>0.24</c:v>
                </c:pt>
                <c:pt idx="3">
                  <c:v>0.36</c:v>
                </c:pt>
                <c:pt idx="4">
                  <c:v>0.48</c:v>
                </c:pt>
                <c:pt idx="5">
                  <c:v>0.6</c:v>
                </c:pt>
                <c:pt idx="6">
                  <c:v>0.72</c:v>
                </c:pt>
                <c:pt idx="7">
                  <c:v>0.84</c:v>
                </c:pt>
                <c:pt idx="8">
                  <c:v>0.96</c:v>
                </c:pt>
                <c:pt idx="9">
                  <c:v>1.08</c:v>
                </c:pt>
                <c:pt idx="10">
                  <c:v>1.2</c:v>
                </c:pt>
                <c:pt idx="11">
                  <c:v>1.32</c:v>
                </c:pt>
                <c:pt idx="12">
                  <c:v>1.44</c:v>
                </c:pt>
                <c:pt idx="13">
                  <c:v>1.56</c:v>
                </c:pt>
                <c:pt idx="14">
                  <c:v>1.68</c:v>
                </c:pt>
                <c:pt idx="15">
                  <c:v>1.8</c:v>
                </c:pt>
                <c:pt idx="16">
                  <c:v>1.92</c:v>
                </c:pt>
                <c:pt idx="17">
                  <c:v>2.04</c:v>
                </c:pt>
                <c:pt idx="18">
                  <c:v>2.16</c:v>
                </c:pt>
                <c:pt idx="19">
                  <c:v>2.2799999999999998</c:v>
                </c:pt>
                <c:pt idx="20">
                  <c:v>2.4</c:v>
                </c:pt>
                <c:pt idx="21">
                  <c:v>2.52</c:v>
                </c:pt>
                <c:pt idx="22">
                  <c:v>2.64</c:v>
                </c:pt>
                <c:pt idx="23">
                  <c:v>2.76</c:v>
                </c:pt>
                <c:pt idx="24">
                  <c:v>2.88</c:v>
                </c:pt>
                <c:pt idx="25">
                  <c:v>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Efficiency!$W$23:$W$73</c15:sqref>
                  </c15:fullRef>
                </c:ext>
              </c:extLst>
              <c:f>(Efficiency!$W$23,Efficiency!$W$25,Efficiency!$W$27,Efficiency!$W$29,Efficiency!$W$31,Efficiency!$W$33,Efficiency!$W$35,Efficiency!$W$37,Efficiency!$W$39,Efficiency!$W$41,Efficiency!$W$43,Efficiency!$W$45,Efficiency!$W$47,Efficiency!$W$49,Efficiency!$W$51,Efficiency!$W$53,Efficiency!$W$55,Efficiency!$W$57,Efficiency!$W$59,Efficiency!$W$61,Efficiency!$W$63,Efficiency!$W$65,Efficiency!$W$67,Efficiency!$W$69,Efficiency!$W$71,Efficiency!$W$73)</c:f>
              <c:numCache>
                <c:formatCode>0.0</c:formatCode>
                <c:ptCount val="26"/>
                <c:pt idx="0">
                  <c:v>4.6213182727818003</c:v>
                </c:pt>
                <c:pt idx="1">
                  <c:v>4.9352590220027057</c:v>
                </c:pt>
                <c:pt idx="2">
                  <c:v>5.7320862500319896</c:v>
                </c:pt>
                <c:pt idx="3">
                  <c:v>6.7514108050569011</c:v>
                </c:pt>
                <c:pt idx="4">
                  <c:v>7.8051446238449573</c:v>
                </c:pt>
                <c:pt idx="5">
                  <c:v>8.7913268526779902</c:v>
                </c:pt>
                <c:pt idx="6">
                  <c:v>9.6613974087878844</c:v>
                </c:pt>
                <c:pt idx="7">
                  <c:v>10.396658368245738</c:v>
                </c:pt>
                <c:pt idx="8">
                  <c:v>10.99511272418829</c:v>
                </c:pt>
                <c:pt idx="9">
                  <c:v>11.464002763823515</c:v>
                </c:pt>
                <c:pt idx="10">
                  <c:v>11.815352161481306</c:v>
                </c:pt>
                <c:pt idx="11">
                  <c:v>12.063222221782013</c:v>
                </c:pt>
                <c:pt idx="12">
                  <c:v>12.222031133859407</c:v>
                </c:pt>
                <c:pt idx="13">
                  <c:v>12.305564744889331</c:v>
                </c:pt>
                <c:pt idx="14">
                  <c:v>12.326442435426966</c:v>
                </c:pt>
                <c:pt idx="15">
                  <c:v>12.295878099890313</c:v>
                </c:pt>
                <c:pt idx="16">
                  <c:v>12.22362594947578</c:v>
                </c:pt>
                <c:pt idx="17">
                  <c:v>12.118035755116786</c:v>
                </c:pt>
                <c:pt idx="18">
                  <c:v>11.986167183296066</c:v>
                </c:pt>
                <c:pt idx="19">
                  <c:v>11.833930684708417</c:v>
                </c:pt>
                <c:pt idx="20">
                  <c:v>11.666234789229529</c:v>
                </c:pt>
                <c:pt idx="21">
                  <c:v>11.487128053427307</c:v>
                </c:pt>
                <c:pt idx="22">
                  <c:v>11.29992941820456</c:v>
                </c:pt>
                <c:pt idx="23">
                  <c:v>11.107344228331625</c:v>
                </c:pt>
                <c:pt idx="24">
                  <c:v>10.911565286975463</c:v>
                </c:pt>
                <c:pt idx="25">
                  <c:v>10.714359531303797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E9-493C-A11B-0DFC24FB67F3}"/>
            </c:ext>
          </c:extLst>
        </c:ser>
        <c:ser>
          <c:idx val="2"/>
          <c:order val="2"/>
          <c:tx>
            <c:v>Bias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26"/>
              <c:pt idx="0">
                <c:v>0</c:v>
              </c:pt>
              <c:pt idx="1">
                <c:v>0.12</c:v>
              </c:pt>
              <c:pt idx="2">
                <c:v>0.24</c:v>
              </c:pt>
              <c:pt idx="3">
                <c:v>0.36</c:v>
              </c:pt>
              <c:pt idx="4">
                <c:v>0.48</c:v>
              </c:pt>
              <c:pt idx="5">
                <c:v>0.6</c:v>
              </c:pt>
              <c:pt idx="6">
                <c:v>0.72</c:v>
              </c:pt>
              <c:pt idx="7">
                <c:v>0.84</c:v>
              </c:pt>
              <c:pt idx="8">
                <c:v>0.96</c:v>
              </c:pt>
              <c:pt idx="9">
                <c:v>1.08</c:v>
              </c:pt>
              <c:pt idx="10">
                <c:v>1.2</c:v>
              </c:pt>
              <c:pt idx="11">
                <c:v>1.32</c:v>
              </c:pt>
              <c:pt idx="12">
                <c:v>1.44</c:v>
              </c:pt>
              <c:pt idx="13">
                <c:v>1.56</c:v>
              </c:pt>
              <c:pt idx="14">
                <c:v>1.68</c:v>
              </c:pt>
              <c:pt idx="15">
                <c:v>1.8</c:v>
              </c:pt>
              <c:pt idx="16">
                <c:v>1.92</c:v>
              </c:pt>
              <c:pt idx="17">
                <c:v>2.04</c:v>
              </c:pt>
              <c:pt idx="18">
                <c:v>2.16</c:v>
              </c:pt>
              <c:pt idx="19">
                <c:v>2.28</c:v>
              </c:pt>
              <c:pt idx="20">
                <c:v>2.4</c:v>
              </c:pt>
              <c:pt idx="21">
                <c:v>2.52</c:v>
              </c:pt>
              <c:pt idx="22">
                <c:v>2.64</c:v>
              </c:pt>
              <c:pt idx="23">
                <c:v>2.76</c:v>
              </c:pt>
              <c:pt idx="24">
                <c:v>2.88</c:v>
              </c:pt>
              <c:pt idx="25">
                <c:v>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Efficiency!$U$23:$U$73</c15:sqref>
                  </c15:fullRef>
                </c:ext>
              </c:extLst>
              <c:f>(Efficiency!$U$23,Efficiency!$U$25,Efficiency!$U$27,Efficiency!$U$29,Efficiency!$U$31,Efficiency!$U$33,Efficiency!$U$35,Efficiency!$U$37,Efficiency!$U$39,Efficiency!$U$41,Efficiency!$U$43,Efficiency!$U$45,Efficiency!$U$47,Efficiency!$U$49,Efficiency!$U$51,Efficiency!$U$53,Efficiency!$U$55,Efficiency!$U$57,Efficiency!$U$59,Efficiency!$U$61,Efficiency!$U$63,Efficiency!$U$65,Efficiency!$U$67,Efficiency!$U$69,Efficiency!$U$71,Efficiency!$U$73)</c:f>
              <c:numCache>
                <c:formatCode>0.00</c:formatCode>
                <c:ptCount val="26"/>
                <c:pt idx="0">
                  <c:v>78.015019096351978</c:v>
                </c:pt>
                <c:pt idx="1">
                  <c:v>77.380810406014561</c:v>
                </c:pt>
                <c:pt idx="2">
                  <c:v>75.630922981031219</c:v>
                </c:pt>
                <c:pt idx="3">
                  <c:v>73.065357911671427</c:v>
                </c:pt>
                <c:pt idx="4">
                  <c:v>69.951826705145734</c:v>
                </c:pt>
                <c:pt idx="5">
                  <c:v>66.495903969842956</c:v>
                </c:pt>
                <c:pt idx="6">
                  <c:v>62.855762547141417</c:v>
                </c:pt>
                <c:pt idx="7">
                  <c:v>59.153656855060554</c:v>
                </c:pt>
                <c:pt idx="8">
                  <c:v>55.482381655560054</c:v>
                </c:pt>
                <c:pt idx="9">
                  <c:v>51.909853118995272</c:v>
                </c:pt>
                <c:pt idx="10">
                  <c:v>48.483223775191718</c:v>
                </c:pt>
                <c:pt idx="11">
                  <c:v>45.232814687494638</c:v>
                </c:pt>
                <c:pt idx="12">
                  <c:v>42.175766849763654</c:v>
                </c:pt>
                <c:pt idx="13">
                  <c:v>39.319268190444518</c:v>
                </c:pt>
                <c:pt idx="14">
                  <c:v>36.663272645159353</c:v>
                </c:pt>
                <c:pt idx="15">
                  <c:v>34.202698292631176</c:v>
                </c:pt>
                <c:pt idx="16">
                  <c:v>31.929142158548711</c:v>
                </c:pt>
                <c:pt idx="17">
                  <c:v>29.832176399970461</c:v>
                </c:pt>
                <c:pt idx="18">
                  <c:v>27.900299559095963</c:v>
                </c:pt>
                <c:pt idx="19">
                  <c:v>26.121614180502046</c:v>
                </c:pt>
                <c:pt idx="20">
                  <c:v>24.484293811854446</c:v>
                </c:pt>
                <c:pt idx="21">
                  <c:v>22.976891952801601</c:v>
                </c:pt>
                <c:pt idx="22">
                  <c:v>21.588535049810908</c:v>
                </c:pt>
                <c:pt idx="23">
                  <c:v>20.309032247749109</c:v>
                </c:pt>
                <c:pt idx="24">
                  <c:v>19.128926719909863</c:v>
                </c:pt>
                <c:pt idx="25">
                  <c:v>18.039507046696869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9-493C-A11B-0DFC24FB6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4221808"/>
        <c:axId val="754224104"/>
      </c:barChart>
      <c:catAx>
        <c:axId val="754221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Current 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4224104"/>
        <c:crosses val="autoZero"/>
        <c:auto val="1"/>
        <c:lblAlgn val="ctr"/>
        <c:lblOffset val="100"/>
        <c:tickMarkSkip val="1"/>
        <c:noMultiLvlLbl val="0"/>
      </c:catAx>
      <c:valAx>
        <c:axId val="75422410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Dissipation Loss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422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XGL4020</a:t>
            </a:r>
            <a:r>
              <a:rPr lang="en-US" baseline="0"/>
              <a:t> - 0.82uH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Components!$M$5:$M$8</c:f>
              <c:numCache>
                <c:formatCode>General</c:formatCode>
                <c:ptCount val="4"/>
                <c:pt idx="0">
                  <c:v>300</c:v>
                </c:pt>
                <c:pt idx="1">
                  <c:v>500</c:v>
                </c:pt>
                <c:pt idx="2">
                  <c:v>800</c:v>
                </c:pt>
                <c:pt idx="3">
                  <c:v>1000</c:v>
                </c:pt>
              </c:numCache>
            </c:numRef>
          </c:xVal>
          <c:yVal>
            <c:numRef>
              <c:f>Components!$N$5:$N$8</c:f>
              <c:numCache>
                <c:formatCode>General</c:formatCode>
                <c:ptCount val="4"/>
                <c:pt idx="0">
                  <c:v>8</c:v>
                </c:pt>
                <c:pt idx="1">
                  <c:v>15</c:v>
                </c:pt>
                <c:pt idx="2">
                  <c:v>25</c:v>
                </c:pt>
                <c:pt idx="3">
                  <c:v>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BA-4376-96EF-253173CAD3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381416"/>
        <c:axId val="539381744"/>
      </c:scatterChart>
      <c:valAx>
        <c:axId val="539381416"/>
        <c:scaling>
          <c:orientation val="minMax"/>
          <c:max val="1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744"/>
        <c:crosses val="autoZero"/>
        <c:crossBetween val="midCat"/>
      </c:valAx>
      <c:valAx>
        <c:axId val="53938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XEL5050 - 4.7uH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5.7344727643641701E-3"/>
                  <c:y val="0.1439527068462236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Components!$M$5:$M$8</c:f>
              <c:numCache>
                <c:formatCode>General</c:formatCode>
                <c:ptCount val="4"/>
                <c:pt idx="0">
                  <c:v>300</c:v>
                </c:pt>
                <c:pt idx="1">
                  <c:v>500</c:v>
                </c:pt>
                <c:pt idx="2">
                  <c:v>800</c:v>
                </c:pt>
                <c:pt idx="3">
                  <c:v>1000</c:v>
                </c:pt>
              </c:numCache>
            </c:numRef>
          </c:xVal>
          <c:yVal>
            <c:numRef>
              <c:f>Components!$O$5:$O$8</c:f>
              <c:numCache>
                <c:formatCode>General</c:formatCode>
                <c:ptCount val="4"/>
                <c:pt idx="0">
                  <c:v>20</c:v>
                </c:pt>
                <c:pt idx="1">
                  <c:v>33</c:v>
                </c:pt>
                <c:pt idx="2">
                  <c:v>38</c:v>
                </c:pt>
                <c:pt idx="3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34-4DDC-9ECB-2CFB82DFBB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381416"/>
        <c:axId val="539381744"/>
      </c:scatterChart>
      <c:valAx>
        <c:axId val="539381416"/>
        <c:scaling>
          <c:orientation val="minMax"/>
          <c:max val="1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744"/>
        <c:crosses val="autoZero"/>
        <c:crossBetween val="midCat"/>
      </c:valAx>
      <c:valAx>
        <c:axId val="53938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XEL5050 - 5.6uH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Components!$M$5:$M$8</c:f>
              <c:numCache>
                <c:formatCode>General</c:formatCode>
                <c:ptCount val="4"/>
                <c:pt idx="0">
                  <c:v>300</c:v>
                </c:pt>
                <c:pt idx="1">
                  <c:v>500</c:v>
                </c:pt>
                <c:pt idx="2">
                  <c:v>800</c:v>
                </c:pt>
                <c:pt idx="3">
                  <c:v>1000</c:v>
                </c:pt>
              </c:numCache>
            </c:numRef>
          </c:xVal>
          <c:yVal>
            <c:numRef>
              <c:f>Components!$P$5:$P$8</c:f>
              <c:numCache>
                <c:formatCode>General</c:formatCode>
                <c:ptCount val="4"/>
                <c:pt idx="0">
                  <c:v>22</c:v>
                </c:pt>
                <c:pt idx="1">
                  <c:v>36</c:v>
                </c:pt>
                <c:pt idx="2">
                  <c:v>47</c:v>
                </c:pt>
                <c:pt idx="3">
                  <c:v>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12-442D-BF93-E85AC01642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381416"/>
        <c:axId val="539381744"/>
      </c:scatterChart>
      <c:valAx>
        <c:axId val="539381416"/>
        <c:scaling>
          <c:orientation val="minMax"/>
          <c:max val="1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744"/>
        <c:crosses val="autoZero"/>
        <c:crossBetween val="midCat"/>
      </c:valAx>
      <c:valAx>
        <c:axId val="53938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381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ISL73007SEH VIN Operating Supply Current vs Fsw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'Operating Current'!$C$6</c:f>
              <c:strCache>
                <c:ptCount val="1"/>
                <c:pt idx="0">
                  <c:v>PVIN=3V</c:v>
                </c:pt>
              </c:strCache>
            </c:strRef>
          </c:tx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'Operating Current'!$B$7:$B$9</c:f>
              <c:numCache>
                <c:formatCode>General</c:formatCode>
                <c:ptCount val="3"/>
                <c:pt idx="0">
                  <c:v>300</c:v>
                </c:pt>
                <c:pt idx="1">
                  <c:v>500</c:v>
                </c:pt>
                <c:pt idx="2">
                  <c:v>1000</c:v>
                </c:pt>
              </c:numCache>
            </c:numRef>
          </c:xVal>
          <c:yVal>
            <c:numRef>
              <c:f>'Operating Current'!$C$7:$C$9</c:f>
              <c:numCache>
                <c:formatCode>General</c:formatCode>
                <c:ptCount val="3"/>
                <c:pt idx="0">
                  <c:v>7</c:v>
                </c:pt>
                <c:pt idx="1">
                  <c:v>10.5</c:v>
                </c:pt>
                <c:pt idx="2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5F3-4FD8-A6BC-E1124D550725}"/>
            </c:ext>
          </c:extLst>
        </c:ser>
        <c:ser>
          <c:idx val="1"/>
          <c:order val="1"/>
          <c:tx>
            <c:strRef>
              <c:f>'Operating Current'!$D$6</c:f>
              <c:strCache>
                <c:ptCount val="1"/>
                <c:pt idx="0">
                  <c:v>PVIN=12V</c:v>
                </c:pt>
              </c:strCache>
            </c:strRef>
          </c:tx>
          <c:trendline>
            <c:trendlineType val="log"/>
            <c:dispRSqr val="0"/>
            <c:dispEq val="1"/>
            <c:trendlineLbl>
              <c:layout>
                <c:manualLayout>
                  <c:x val="0.10031258995851325"/>
                  <c:y val="0.11433000129214566"/>
                </c:manualLayout>
              </c:layout>
              <c:numFmt formatCode="General" sourceLinked="0"/>
            </c:trendlineLbl>
          </c:trendline>
          <c:xVal>
            <c:numRef>
              <c:f>'Operating Current'!$B$7:$B$9</c:f>
              <c:numCache>
                <c:formatCode>General</c:formatCode>
                <c:ptCount val="3"/>
                <c:pt idx="0">
                  <c:v>300</c:v>
                </c:pt>
                <c:pt idx="1">
                  <c:v>500</c:v>
                </c:pt>
                <c:pt idx="2">
                  <c:v>1000</c:v>
                </c:pt>
              </c:numCache>
            </c:numRef>
          </c:xVal>
          <c:yVal>
            <c:numRef>
              <c:f>'Operating Current'!$D$7:$D$9</c:f>
              <c:numCache>
                <c:formatCode>General</c:formatCode>
                <c:ptCount val="3"/>
                <c:pt idx="0">
                  <c:v>19</c:v>
                </c:pt>
                <c:pt idx="1">
                  <c:v>33</c:v>
                </c:pt>
                <c:pt idx="2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5F3-4FD8-A6BC-E1124D550725}"/>
            </c:ext>
          </c:extLst>
        </c:ser>
        <c:ser>
          <c:idx val="0"/>
          <c:order val="2"/>
          <c:tx>
            <c:strRef>
              <c:f>'Operating Current'!$E$6</c:f>
              <c:strCache>
                <c:ptCount val="1"/>
                <c:pt idx="0">
                  <c:v>PVIN=18V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'Operating Current'!$B$7:$B$9</c:f>
              <c:numCache>
                <c:formatCode>General</c:formatCode>
                <c:ptCount val="3"/>
                <c:pt idx="0">
                  <c:v>300</c:v>
                </c:pt>
                <c:pt idx="1">
                  <c:v>500</c:v>
                </c:pt>
                <c:pt idx="2">
                  <c:v>1000</c:v>
                </c:pt>
              </c:numCache>
            </c:numRef>
          </c:xVal>
          <c:yVal>
            <c:numRef>
              <c:f>'Operating Current'!$E$7:$E$9</c:f>
              <c:numCache>
                <c:formatCode>General</c:formatCode>
                <c:ptCount val="3"/>
                <c:pt idx="0">
                  <c:v>22</c:v>
                </c:pt>
                <c:pt idx="1">
                  <c:v>35</c:v>
                </c:pt>
                <c:pt idx="2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5F3-4FD8-A6BC-E1124D5507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0514848"/>
        <c:axId val="460517008"/>
      </c:scatterChart>
      <c:valAx>
        <c:axId val="46051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(kHz)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517008"/>
        <c:crosses val="autoZero"/>
        <c:crossBetween val="midCat"/>
      </c:valAx>
      <c:valAx>
        <c:axId val="46051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I_VIN (mA)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514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3</xdr:row>
          <xdr:rowOff>85725</xdr:rowOff>
        </xdr:from>
        <xdr:to>
          <xdr:col>3</xdr:col>
          <xdr:colOff>552450</xdr:colOff>
          <xdr:row>7</xdr:row>
          <xdr:rowOff>9525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4</xdr:col>
      <xdr:colOff>200025</xdr:colOff>
      <xdr:row>3</xdr:row>
      <xdr:rowOff>152400</xdr:rowOff>
    </xdr:from>
    <xdr:to>
      <xdr:col>11</xdr:col>
      <xdr:colOff>509866</xdr:colOff>
      <xdr:row>21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914400"/>
          <a:ext cx="4577041" cy="3419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95251</xdr:colOff>
      <xdr:row>1</xdr:row>
      <xdr:rowOff>63890</xdr:rowOff>
    </xdr:from>
    <xdr:to>
      <xdr:col>18</xdr:col>
      <xdr:colOff>529167</xdr:colOff>
      <xdr:row>20</xdr:row>
      <xdr:rowOff>21167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596634</xdr:colOff>
      <xdr:row>1</xdr:row>
      <xdr:rowOff>9572</xdr:rowOff>
    </xdr:from>
    <xdr:to>
      <xdr:col>26</xdr:col>
      <xdr:colOff>21165</xdr:colOff>
      <xdr:row>20</xdr:row>
      <xdr:rowOff>4842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342901</xdr:colOff>
      <xdr:row>12</xdr:row>
      <xdr:rowOff>66675</xdr:rowOff>
    </xdr:from>
    <xdr:to>
      <xdr:col>14</xdr:col>
      <xdr:colOff>209551</xdr:colOff>
      <xdr:row>28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304800</xdr:colOff>
      <xdr:row>12</xdr:row>
      <xdr:rowOff>47625</xdr:rowOff>
    </xdr:from>
    <xdr:to>
      <xdr:col>17</xdr:col>
      <xdr:colOff>752475</xdr:colOff>
      <xdr:row>28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838200</xdr:colOff>
      <xdr:row>12</xdr:row>
      <xdr:rowOff>38100</xdr:rowOff>
    </xdr:from>
    <xdr:to>
      <xdr:col>23</xdr:col>
      <xdr:colOff>123825</xdr:colOff>
      <xdr:row>28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104775</xdr:colOff>
      <xdr:row>14</xdr:row>
      <xdr:rowOff>104775</xdr:rowOff>
    </xdr:from>
    <xdr:to>
      <xdr:col>8</xdr:col>
      <xdr:colOff>561975</xdr:colOff>
      <xdr:row>31</xdr:row>
      <xdr:rowOff>169424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352425" y="3152775"/>
          <a:ext cx="7581900" cy="3303149"/>
          <a:chOff x="4810125" y="409575"/>
          <a:chExt cx="7581900" cy="3303149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810125" y="409575"/>
            <a:ext cx="7562850" cy="1633759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4819650" y="2047875"/>
            <a:ext cx="7572375" cy="166484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133350</xdr:colOff>
      <xdr:row>17</xdr:row>
      <xdr:rowOff>114300</xdr:rowOff>
    </xdr:from>
    <xdr:to>
      <xdr:col>7</xdr:col>
      <xdr:colOff>561975</xdr:colOff>
      <xdr:row>20</xdr:row>
      <xdr:rowOff>57150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400800" y="3733800"/>
          <a:ext cx="428625" cy="5143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123825</xdr:colOff>
      <xdr:row>26</xdr:row>
      <xdr:rowOff>28575</xdr:rowOff>
    </xdr:from>
    <xdr:to>
      <xdr:col>7</xdr:col>
      <xdr:colOff>552450</xdr:colOff>
      <xdr:row>28</xdr:row>
      <xdr:rowOff>161925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6391275" y="5362575"/>
          <a:ext cx="428625" cy="5143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152400</xdr:colOff>
      <xdr:row>0</xdr:row>
      <xdr:rowOff>152153</xdr:rowOff>
    </xdr:from>
    <xdr:to>
      <xdr:col>27</xdr:col>
      <xdr:colOff>85725</xdr:colOff>
      <xdr:row>31</xdr:row>
      <xdr:rowOff>18434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91725" y="152153"/>
          <a:ext cx="7248525" cy="5771781"/>
        </a:xfrm>
        <a:prstGeom prst="rect">
          <a:avLst/>
        </a:prstGeom>
      </xdr:spPr>
    </xdr:pic>
    <xdr:clientData/>
  </xdr:twoCellAnchor>
  <xdr:twoCellAnchor>
    <xdr:from>
      <xdr:col>5</xdr:col>
      <xdr:colOff>266700</xdr:colOff>
      <xdr:row>6</xdr:row>
      <xdr:rowOff>90486</xdr:rowOff>
    </xdr:from>
    <xdr:to>
      <xdr:col>15</xdr:col>
      <xdr:colOff>76200</xdr:colOff>
      <xdr:row>26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4168C-171D-46D6-A6A5-3AB7C0C6CA61}">
  <dimension ref="C3"/>
  <sheetViews>
    <sheetView workbookViewId="0">
      <selection activeCell="C14" sqref="C14"/>
    </sheetView>
  </sheetViews>
  <sheetFormatPr defaultRowHeight="15" x14ac:dyDescent="0.25"/>
  <sheetData>
    <row r="3" spans="3:3" x14ac:dyDescent="0.25">
      <c r="C3" t="s">
        <v>16</v>
      </c>
    </row>
  </sheetData>
  <pageMargins left="0.7" right="0.7" top="0.75" bottom="0.75" header="0.3" footer="0.3"/>
  <pageSetup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Acrobat Document" dvAspect="DVASPECT_ICON" shapeId="2049" r:id="rId4">
          <objectPr defaultSize="0" r:id="rId5">
            <anchor moveWithCells="1">
              <from>
                <xdr:col>2</xdr:col>
                <xdr:colOff>247650</xdr:colOff>
                <xdr:row>3</xdr:row>
                <xdr:rowOff>85725</xdr:rowOff>
              </from>
              <to>
                <xdr:col>3</xdr:col>
                <xdr:colOff>552450</xdr:colOff>
                <xdr:row>7</xdr:row>
                <xdr:rowOff>9525</xdr:rowOff>
              </to>
            </anchor>
          </objectPr>
        </oleObject>
      </mc:Choice>
      <mc:Fallback>
        <oleObject progId="Acrobat Document" dvAspect="DVASPECT_ICON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B53D3-5DB0-4E25-9EAA-DE6A3F9237A3}">
  <dimension ref="A1:Y123"/>
  <sheetViews>
    <sheetView tabSelected="1" zoomScale="90" zoomScaleNormal="90" workbookViewId="0">
      <pane ySplit="24" topLeftCell="A25" activePane="bottomLeft" state="frozen"/>
      <selection pane="bottomLeft" activeCell="K4" sqref="K3:K4"/>
    </sheetView>
  </sheetViews>
  <sheetFormatPr defaultRowHeight="15" x14ac:dyDescent="0.25"/>
  <cols>
    <col min="1" max="1" width="12.85546875" customWidth="1"/>
    <col min="2" max="2" width="18.28515625" customWidth="1"/>
    <col min="3" max="3" width="8.42578125" customWidth="1"/>
    <col min="4" max="4" width="22.140625" customWidth="1"/>
    <col min="5" max="5" width="10.42578125" customWidth="1"/>
    <col min="6" max="6" width="11.28515625" customWidth="1"/>
    <col min="7" max="7" width="13.42578125" customWidth="1"/>
    <col min="8" max="8" width="14.140625" customWidth="1"/>
    <col min="9" max="10" width="14.42578125" customWidth="1"/>
    <col min="11" max="11" width="12.140625" customWidth="1"/>
    <col min="12" max="12" width="12.85546875" customWidth="1"/>
    <col min="13" max="13" width="9.140625" customWidth="1"/>
    <col min="14" max="14" width="12.28515625" customWidth="1"/>
    <col min="15" max="15" width="7.140625" customWidth="1"/>
    <col min="16" max="16" width="10" customWidth="1"/>
    <col min="17" max="17" width="11.7109375" customWidth="1"/>
    <col min="18" max="18" width="7.42578125" customWidth="1"/>
    <col min="19" max="19" width="12" customWidth="1"/>
    <col min="20" max="20" width="11.5703125" customWidth="1"/>
    <col min="21" max="21" width="12.42578125" customWidth="1"/>
    <col min="22" max="22" width="11.85546875" customWidth="1"/>
    <col min="23" max="23" width="10.28515625" customWidth="1"/>
    <col min="24" max="24" width="12.42578125" customWidth="1"/>
    <col min="25" max="25" width="12.85546875" customWidth="1"/>
  </cols>
  <sheetData>
    <row r="1" spans="1:12" ht="18.75" x14ac:dyDescent="0.3">
      <c r="A1" s="12" t="s">
        <v>102</v>
      </c>
      <c r="G1" s="24" t="s">
        <v>125</v>
      </c>
      <c r="H1" s="24"/>
      <c r="I1" s="24"/>
      <c r="J1" s="24"/>
      <c r="K1" s="24"/>
      <c r="L1" s="24"/>
    </row>
    <row r="2" spans="1:12" x14ac:dyDescent="0.25">
      <c r="A2" t="s">
        <v>90</v>
      </c>
      <c r="B2" s="8" t="s">
        <v>114</v>
      </c>
      <c r="D2" t="s">
        <v>103</v>
      </c>
      <c r="E2" s="17">
        <v>1</v>
      </c>
    </row>
    <row r="3" spans="1:12" x14ac:dyDescent="0.25">
      <c r="B3" s="15"/>
      <c r="D3" t="s">
        <v>96</v>
      </c>
      <c r="E3" s="17">
        <v>1</v>
      </c>
    </row>
    <row r="4" spans="1:12" x14ac:dyDescent="0.25">
      <c r="B4" s="15"/>
      <c r="D4" t="s">
        <v>97</v>
      </c>
      <c r="E4" s="17">
        <v>1</v>
      </c>
    </row>
    <row r="5" spans="1:12" x14ac:dyDescent="0.25">
      <c r="A5" t="s">
        <v>104</v>
      </c>
      <c r="B5" s="8">
        <v>12</v>
      </c>
      <c r="C5" t="s">
        <v>0</v>
      </c>
      <c r="D5" s="6" t="s">
        <v>1</v>
      </c>
      <c r="F5" t="s">
        <v>37</v>
      </c>
      <c r="G5" s="23">
        <v>5</v>
      </c>
      <c r="H5" t="s">
        <v>25</v>
      </c>
      <c r="I5" t="s">
        <v>40</v>
      </c>
    </row>
    <row r="6" spans="1:12" x14ac:dyDescent="0.25">
      <c r="A6" t="s">
        <v>105</v>
      </c>
      <c r="B6" s="8">
        <v>5</v>
      </c>
      <c r="C6" t="s">
        <v>0</v>
      </c>
      <c r="D6" s="6" t="s">
        <v>2</v>
      </c>
      <c r="F6" t="s">
        <v>38</v>
      </c>
      <c r="G6" s="23">
        <v>5</v>
      </c>
      <c r="H6" t="s">
        <v>25</v>
      </c>
      <c r="I6" t="s">
        <v>41</v>
      </c>
    </row>
    <row r="7" spans="1:12" x14ac:dyDescent="0.25">
      <c r="A7" t="s">
        <v>3</v>
      </c>
      <c r="B7" s="13">
        <f>B6/B5*100</f>
        <v>41.666666666666671</v>
      </c>
      <c r="C7" t="s">
        <v>15</v>
      </c>
      <c r="D7" s="6" t="s">
        <v>4</v>
      </c>
      <c r="F7" t="s">
        <v>39</v>
      </c>
      <c r="G7" s="23">
        <v>5</v>
      </c>
      <c r="H7" t="s">
        <v>25</v>
      </c>
      <c r="I7" t="s">
        <v>42</v>
      </c>
    </row>
    <row r="8" spans="1:12" x14ac:dyDescent="0.25">
      <c r="A8" t="s">
        <v>10</v>
      </c>
      <c r="B8" s="8">
        <v>500</v>
      </c>
      <c r="C8" t="s">
        <v>11</v>
      </c>
      <c r="D8" s="6" t="s">
        <v>14</v>
      </c>
      <c r="F8" t="s">
        <v>39</v>
      </c>
      <c r="G8" s="23">
        <v>5</v>
      </c>
      <c r="H8" t="s">
        <v>25</v>
      </c>
      <c r="I8" t="s">
        <v>43</v>
      </c>
    </row>
    <row r="9" spans="1:12" x14ac:dyDescent="0.25">
      <c r="A9" t="s">
        <v>23</v>
      </c>
      <c r="B9" s="14">
        <f>B7/100/(B8*1000)*1000000000</f>
        <v>833.33333333333348</v>
      </c>
      <c r="C9" t="s">
        <v>25</v>
      </c>
      <c r="D9" s="6" t="s">
        <v>26</v>
      </c>
      <c r="F9" t="s">
        <v>46</v>
      </c>
      <c r="G9" s="15">
        <v>0</v>
      </c>
      <c r="H9" t="s">
        <v>48</v>
      </c>
      <c r="I9" t="s">
        <v>129</v>
      </c>
    </row>
    <row r="10" spans="1:12" x14ac:dyDescent="0.25">
      <c r="A10" t="s">
        <v>24</v>
      </c>
      <c r="B10" s="14">
        <f>(1-B7/100)/(B8*1000)*1000000000</f>
        <v>1166.6666666666665</v>
      </c>
      <c r="C10" t="s">
        <v>25</v>
      </c>
      <c r="D10" s="6" t="s">
        <v>27</v>
      </c>
      <c r="F10" t="s">
        <v>47</v>
      </c>
      <c r="G10" s="15">
        <v>0</v>
      </c>
      <c r="H10" t="s">
        <v>48</v>
      </c>
      <c r="I10" t="s">
        <v>129</v>
      </c>
    </row>
    <row r="11" spans="1:12" x14ac:dyDescent="0.25">
      <c r="A11" t="s">
        <v>17</v>
      </c>
      <c r="B11" s="15">
        <f>VLOOKUP(Efficiency!B2, Components!C5:E10, 2,0)</f>
        <v>5.6</v>
      </c>
      <c r="C11" t="s">
        <v>18</v>
      </c>
      <c r="D11" s="6" t="s">
        <v>19</v>
      </c>
      <c r="F11" t="s">
        <v>50</v>
      </c>
      <c r="G11" s="23">
        <v>1.2</v>
      </c>
      <c r="H11" t="s">
        <v>0</v>
      </c>
      <c r="I11" t="s">
        <v>109</v>
      </c>
    </row>
    <row r="12" spans="1:12" ht="14.25" customHeight="1" x14ac:dyDescent="0.25">
      <c r="A12" t="s">
        <v>5</v>
      </c>
      <c r="B12" s="15">
        <f>IF(B5&gt;3.3,78, 93)</f>
        <v>78</v>
      </c>
      <c r="C12" t="s">
        <v>6</v>
      </c>
      <c r="D12" s="6" t="s">
        <v>12</v>
      </c>
      <c r="F12" t="s">
        <v>52</v>
      </c>
      <c r="G12" s="23">
        <v>5</v>
      </c>
      <c r="H12" t="s">
        <v>25</v>
      </c>
      <c r="I12" t="s">
        <v>54</v>
      </c>
    </row>
    <row r="13" spans="1:12" ht="15" customHeight="1" x14ac:dyDescent="0.25">
      <c r="A13" t="s">
        <v>7</v>
      </c>
      <c r="B13" s="15">
        <f>IF(B5&gt;3.3,44,49)</f>
        <v>44</v>
      </c>
      <c r="C13" t="s">
        <v>6</v>
      </c>
      <c r="D13" s="6" t="s">
        <v>13</v>
      </c>
      <c r="F13" t="s">
        <v>53</v>
      </c>
      <c r="G13" s="23">
        <v>5</v>
      </c>
      <c r="H13" t="s">
        <v>25</v>
      </c>
      <c r="I13" t="s">
        <v>55</v>
      </c>
    </row>
    <row r="14" spans="1:12" x14ac:dyDescent="0.25">
      <c r="A14" t="s">
        <v>8</v>
      </c>
      <c r="B14" s="15">
        <f>VLOOKUP(B2,Components!C5:E10,3,0)</f>
        <v>22.6</v>
      </c>
      <c r="C14" t="s">
        <v>6</v>
      </c>
      <c r="D14" s="6" t="s">
        <v>9</v>
      </c>
      <c r="F14" t="s">
        <v>56</v>
      </c>
      <c r="G14" s="15">
        <v>0</v>
      </c>
      <c r="H14" t="s">
        <v>58</v>
      </c>
      <c r="I14" t="s">
        <v>128</v>
      </c>
    </row>
    <row r="15" spans="1:12" x14ac:dyDescent="0.25">
      <c r="A15" t="s">
        <v>83</v>
      </c>
      <c r="B15" s="13">
        <f>VLOOKUP(B2,Components!C5:J10,8,0)</f>
        <v>36.198300000000003</v>
      </c>
      <c r="C15" t="s">
        <v>85</v>
      </c>
      <c r="D15" s="6" t="s">
        <v>84</v>
      </c>
      <c r="F15" t="s">
        <v>57</v>
      </c>
      <c r="G15" s="15">
        <v>0</v>
      </c>
      <c r="H15" t="s">
        <v>58</v>
      </c>
      <c r="I15" t="s">
        <v>128</v>
      </c>
    </row>
    <row r="16" spans="1:12" x14ac:dyDescent="0.25">
      <c r="B16" s="15"/>
      <c r="D16" s="6" t="s">
        <v>70</v>
      </c>
      <c r="F16" t="s">
        <v>60</v>
      </c>
      <c r="G16" s="15">
        <f>IF(B5&gt;5, 5, B5)</f>
        <v>5</v>
      </c>
      <c r="H16" t="s">
        <v>0</v>
      </c>
      <c r="I16" t="s">
        <v>61</v>
      </c>
    </row>
    <row r="17" spans="1:25" x14ac:dyDescent="0.25">
      <c r="A17" t="s">
        <v>30</v>
      </c>
      <c r="B17" s="8">
        <v>3</v>
      </c>
      <c r="C17" t="s">
        <v>28</v>
      </c>
      <c r="D17" s="6" t="s">
        <v>31</v>
      </c>
      <c r="F17" t="s">
        <v>62</v>
      </c>
      <c r="G17" s="8">
        <v>5</v>
      </c>
      <c r="H17" t="s">
        <v>6</v>
      </c>
      <c r="I17" t="s">
        <v>64</v>
      </c>
    </row>
    <row r="18" spans="1:25" x14ac:dyDescent="0.25">
      <c r="A18" t="s">
        <v>21</v>
      </c>
      <c r="B18" s="16">
        <f>(B5-B6)/(B11*0.000001)*B9*0.000000001</f>
        <v>1.041666666666667</v>
      </c>
      <c r="C18" t="s">
        <v>28</v>
      </c>
      <c r="D18" s="6" t="s">
        <v>75</v>
      </c>
      <c r="F18" t="s">
        <v>63</v>
      </c>
      <c r="G18" s="8">
        <v>5</v>
      </c>
      <c r="H18" t="s">
        <v>6</v>
      </c>
      <c r="I18" t="s">
        <v>65</v>
      </c>
    </row>
    <row r="19" spans="1:25" x14ac:dyDescent="0.25">
      <c r="A19" t="s">
        <v>22</v>
      </c>
      <c r="B19" s="16">
        <f>B6/(B11*0.000001)*B10*0.000000001</f>
        <v>1.0416666666666665</v>
      </c>
      <c r="C19" t="s">
        <v>29</v>
      </c>
      <c r="D19" s="6" t="s">
        <v>76</v>
      </c>
      <c r="F19" t="s">
        <v>79</v>
      </c>
      <c r="G19" s="25">
        <f>B5</f>
        <v>12</v>
      </c>
      <c r="H19" t="s">
        <v>0</v>
      </c>
      <c r="I19" t="s">
        <v>126</v>
      </c>
    </row>
    <row r="20" spans="1:25" ht="30" x14ac:dyDescent="0.25">
      <c r="A20" t="s">
        <v>32</v>
      </c>
      <c r="B20" s="13">
        <f>B18/(B17/E2)*100</f>
        <v>34.722222222222229</v>
      </c>
      <c r="C20" t="s">
        <v>15</v>
      </c>
      <c r="D20" s="6" t="s">
        <v>33</v>
      </c>
      <c r="F20" t="s">
        <v>77</v>
      </c>
      <c r="G20" s="13">
        <f>IF(G19&lt;12, VLOOKUP(B8,'Operating Current'!B13:E27,2,0), IF(G19&lt;18, VLOOKUP(B8,'Operating Current'!B13:E27,3,0), IF(G19=18, VLOOKUP(B8,'Operating Current'!B13:E27,4,0))))</f>
        <v>32.996193369653838</v>
      </c>
      <c r="H20" t="s">
        <v>78</v>
      </c>
      <c r="I20" t="s">
        <v>127</v>
      </c>
    </row>
    <row r="22" spans="1:25" s="6" customFormat="1" ht="30" customHeight="1" x14ac:dyDescent="0.25">
      <c r="A22" s="6" t="s">
        <v>34</v>
      </c>
      <c r="B22" s="6" t="s">
        <v>107</v>
      </c>
      <c r="C22" s="6" t="s">
        <v>20</v>
      </c>
      <c r="D22" s="6" t="s">
        <v>35</v>
      </c>
      <c r="E22" s="6" t="s">
        <v>36</v>
      </c>
      <c r="F22" s="6" t="s">
        <v>99</v>
      </c>
      <c r="G22" s="6" t="s">
        <v>98</v>
      </c>
      <c r="H22" s="6" t="s">
        <v>44</v>
      </c>
      <c r="I22" s="6" t="s">
        <v>45</v>
      </c>
      <c r="J22" s="6" t="s">
        <v>49</v>
      </c>
      <c r="K22" s="6" t="s">
        <v>51</v>
      </c>
      <c r="L22" s="6" t="s">
        <v>59</v>
      </c>
      <c r="M22" s="6" t="s">
        <v>66</v>
      </c>
      <c r="N22" s="6" t="s">
        <v>81</v>
      </c>
      <c r="O22" s="6" t="s">
        <v>67</v>
      </c>
      <c r="P22" s="6" t="s">
        <v>68</v>
      </c>
      <c r="Q22" s="6" t="s">
        <v>69</v>
      </c>
      <c r="R22" s="6" t="s">
        <v>108</v>
      </c>
      <c r="S22" s="6" t="s">
        <v>71</v>
      </c>
      <c r="T22" s="6" t="s">
        <v>72</v>
      </c>
      <c r="U22" s="6" t="s">
        <v>82</v>
      </c>
      <c r="V22" s="6" t="s">
        <v>73</v>
      </c>
      <c r="W22" s="6" t="s">
        <v>74</v>
      </c>
      <c r="X22" s="6" t="s">
        <v>80</v>
      </c>
      <c r="Y22" s="6" t="s">
        <v>106</v>
      </c>
    </row>
    <row r="23" spans="1:25" x14ac:dyDescent="0.25">
      <c r="A23">
        <v>0</v>
      </c>
      <c r="B23">
        <f t="shared" ref="B23:B54" si="0">$B$17/$E$2*A23/100</f>
        <v>0</v>
      </c>
      <c r="C23" s="3">
        <f t="shared" ref="C23:C73" si="1">(B23^2 + $B$18^2/12)^0.5</f>
        <v>0.30070326520293017</v>
      </c>
      <c r="D23" s="2">
        <f t="shared" ref="D23:D54" si="2">(C23/$E$2)^2*$B$12/1000*$B$7/100*$E$2</f>
        <v>2.9387297453703719E-3</v>
      </c>
      <c r="E23" s="2">
        <f t="shared" ref="E23:E54" si="3">(C23/$E$2)^2*$B$13/1000*(1-$B$7/100)*$E$2</f>
        <v>2.3208429783950625E-3</v>
      </c>
      <c r="F23" s="2">
        <f t="shared" ref="F23:F54" si="4">(C23/$E$2)^2*($B$16/1000)*$E$2</f>
        <v>0</v>
      </c>
      <c r="G23" s="2">
        <f t="shared" ref="G23:G54" si="5">(C23/$E$2)^2*($B$14/1000)*$E$2 + $B$15/1000*$E$2</f>
        <v>3.8241847453703709E-2</v>
      </c>
      <c r="H23" s="2">
        <f t="shared" ref="H23:H54" si="6">0.5*$B$5*C23/$E$2*($G$5+$G$6)*$E$2*0.000000001*$B$8*1000</f>
        <v>9.0210979560879073E-3</v>
      </c>
      <c r="I23" s="2">
        <f t="shared" ref="I23:I54" si="7">0.5*$G$11*C23/$E$2*($G$7+$G$8)*$E$2*0.000000001*$B$8*1000</f>
        <v>9.0210979560879055E-4</v>
      </c>
      <c r="J23" s="2">
        <f t="shared" ref="J23:J54" si="8">0.5*($G$9+$G$10)*$E$2*0.000000000001*($B$5)^2*$B$8*1000</f>
        <v>0</v>
      </c>
      <c r="K23" s="2">
        <f>$G$11*C23/$E$2*($G$12+$G$13)*$E$2*0.000000001*$B$8*1000</f>
        <v>1.8042195912175811E-3</v>
      </c>
      <c r="L23" s="2">
        <f>($G$14+$G$15)*$E$2*0.000000001*$G$16*$B$8*1000</f>
        <v>0</v>
      </c>
      <c r="M23" s="2">
        <f>($B$18/(2*3^0.5))^2*$G$17/1000+(C23*(($B$5-$B$6)*$B$6)^0.5/$B$5)^2*$G$18/1000</f>
        <v>5.6200066711676981E-4</v>
      </c>
      <c r="N23" s="3">
        <f>$G$19*$G$20/1000*$E$2/2</f>
        <v>0.19797716021792303</v>
      </c>
      <c r="O23" s="3">
        <f>SUM(D23:M23,N23)</f>
        <v>0.25376800840542324</v>
      </c>
      <c r="P23" s="3">
        <f t="shared" ref="P23:P54" si="9">$B$6*B23</f>
        <v>0</v>
      </c>
      <c r="Q23" s="3">
        <f>P23/(O23+P23)*100</f>
        <v>0</v>
      </c>
      <c r="R23">
        <f>$B$17/$E$2*A23/100</f>
        <v>0</v>
      </c>
      <c r="S23" s="1">
        <f>D23+E23+F23+G23+M23</f>
        <v>4.4063420844585914E-2</v>
      </c>
      <c r="T23" s="2">
        <f>SUM(H23:L23)</f>
        <v>1.1727427342914279E-2</v>
      </c>
      <c r="U23" s="3">
        <f>N23/O23*100</f>
        <v>78.015019096351978</v>
      </c>
      <c r="V23" s="5">
        <f>S23/O23*100</f>
        <v>17.363662630866216</v>
      </c>
      <c r="W23" s="5">
        <f>T23/O23*100</f>
        <v>4.6213182727818003</v>
      </c>
      <c r="X23" s="9">
        <f>MAX(Q23:Q73)</f>
        <v>93.961463758869499</v>
      </c>
      <c r="Y23" s="9">
        <f>VLOOKUP(X23,Q23:R73,2,0)</f>
        <v>1.74</v>
      </c>
    </row>
    <row r="24" spans="1:25" x14ac:dyDescent="0.25">
      <c r="A24">
        <f t="shared" ref="A24:A55" si="10">A23+2*$E$2</f>
        <v>2</v>
      </c>
      <c r="B24">
        <f t="shared" si="0"/>
        <v>0.06</v>
      </c>
      <c r="C24" s="3">
        <f t="shared" si="1"/>
        <v>0.30663081010182874</v>
      </c>
      <c r="D24" s="2">
        <f t="shared" si="2"/>
        <v>3.0557297453703723E-3</v>
      </c>
      <c r="E24" s="2">
        <f t="shared" si="3"/>
        <v>2.4132429783950624E-3</v>
      </c>
      <c r="F24" s="2">
        <f t="shared" si="4"/>
        <v>0</v>
      </c>
      <c r="G24" s="2">
        <f t="shared" si="5"/>
        <v>3.8323207453703705E-2</v>
      </c>
      <c r="H24" s="2">
        <f t="shared" si="6"/>
        <v>9.1989243030548631E-3</v>
      </c>
      <c r="I24" s="2">
        <f t="shared" si="7"/>
        <v>9.1989243030548629E-4</v>
      </c>
      <c r="J24" s="2">
        <f t="shared" si="8"/>
        <v>0</v>
      </c>
      <c r="K24" s="2">
        <f t="shared" ref="K24:K54" si="11">$G$11*C24/$E$2*($G$12+$G$13)*$E$2*0.000000001*$B$8*1000</f>
        <v>1.8397848606109726E-3</v>
      </c>
      <c r="L24" s="2">
        <f t="shared" ref="L24:L54" si="12">($G$14+$G$15)*$E$2*0.000000001*$G$16*$B$8*1000</f>
        <v>0</v>
      </c>
      <c r="M24" s="2">
        <f t="shared" ref="M24:M54" si="13">($B$18/(2*3^0.5))^2*$G$17/1000+(C24*(($B$5-$B$6)*$B$6)^0.5/$B$5)^2*$G$18/1000</f>
        <v>5.6637566711676985E-4</v>
      </c>
      <c r="N24" s="3">
        <f t="shared" ref="N24:N73" si="14">$G$19*$G$20/1000*$E$2/2</f>
        <v>0.19797716021792303</v>
      </c>
      <c r="O24" s="3">
        <f>SUM(D24:M24,N24)</f>
        <v>0.25429431765648025</v>
      </c>
      <c r="P24" s="3">
        <f t="shared" si="9"/>
        <v>0.3</v>
      </c>
      <c r="Q24" s="3">
        <f t="shared" ref="Q24:Q73" si="15">P24/(O24+P24)*100</f>
        <v>54.122871269613611</v>
      </c>
      <c r="R24">
        <f t="shared" ref="R24:R73" si="16">$B$17/$E$2*A24/100</f>
        <v>0.06</v>
      </c>
      <c r="S24" s="1">
        <f>D24+E24+F24+G24+M24</f>
        <v>4.4358555844585909E-2</v>
      </c>
      <c r="T24" s="2">
        <f>SUM(H24:L24)</f>
        <v>1.1958601593971321E-2</v>
      </c>
      <c r="U24" s="3">
        <f>N24/O24*100</f>
        <v>77.853552545898935</v>
      </c>
      <c r="V24" s="5">
        <f>S24/O24*100</f>
        <v>17.443785709953914</v>
      </c>
      <c r="W24" s="5">
        <f>T24/O24*100</f>
        <v>4.7026617441471474</v>
      </c>
    </row>
    <row r="25" spans="1:25" x14ac:dyDescent="0.25">
      <c r="A25">
        <f t="shared" si="10"/>
        <v>4</v>
      </c>
      <c r="B25">
        <f t="shared" si="0"/>
        <v>0.12</v>
      </c>
      <c r="C25" s="3">
        <f t="shared" si="1"/>
        <v>0.32376295912859421</v>
      </c>
      <c r="D25" s="2">
        <f t="shared" si="2"/>
        <v>3.4067297453703725E-3</v>
      </c>
      <c r="E25" s="2">
        <f t="shared" si="3"/>
        <v>2.6904429783950624E-3</v>
      </c>
      <c r="F25" s="2">
        <f t="shared" si="4"/>
        <v>0</v>
      </c>
      <c r="G25" s="2">
        <f t="shared" si="5"/>
        <v>3.8567287453703705E-2</v>
      </c>
      <c r="H25" s="2">
        <f t="shared" si="6"/>
        <v>9.7128887738578279E-3</v>
      </c>
      <c r="I25" s="2">
        <f t="shared" si="7"/>
        <v>9.7128887738578279E-4</v>
      </c>
      <c r="J25" s="2">
        <f t="shared" si="8"/>
        <v>0</v>
      </c>
      <c r="K25" s="2">
        <f t="shared" si="11"/>
        <v>1.9425777547715656E-3</v>
      </c>
      <c r="L25" s="2">
        <f t="shared" si="12"/>
        <v>0</v>
      </c>
      <c r="M25" s="2">
        <f t="shared" si="13"/>
        <v>5.7950066711676986E-4</v>
      </c>
      <c r="N25" s="3">
        <f t="shared" si="14"/>
        <v>0.19797716021792303</v>
      </c>
      <c r="O25" s="3">
        <f>SUM(D25:M25,N25)</f>
        <v>0.25584787646852414</v>
      </c>
      <c r="P25" s="3">
        <f t="shared" si="9"/>
        <v>0.6</v>
      </c>
      <c r="Q25" s="3">
        <f t="shared" si="15"/>
        <v>70.105916775277109</v>
      </c>
      <c r="R25">
        <f t="shared" si="16"/>
        <v>0.12</v>
      </c>
      <c r="S25" s="1">
        <f>D25+E25+F25+G25+M25</f>
        <v>4.5243960844585908E-2</v>
      </c>
      <c r="T25" s="2">
        <f>SUM(H25:L25)</f>
        <v>1.2626755406015176E-2</v>
      </c>
      <c r="U25" s="3">
        <f>N25/O25*100</f>
        <v>77.380810406014561</v>
      </c>
      <c r="V25" s="5">
        <f>S25/O25*100</f>
        <v>17.683930571982714</v>
      </c>
      <c r="W25" s="5">
        <f>T25/O25*100</f>
        <v>4.9352590220027057</v>
      </c>
    </row>
    <row r="26" spans="1:25" x14ac:dyDescent="0.25">
      <c r="A26">
        <f t="shared" si="10"/>
        <v>6</v>
      </c>
      <c r="B26">
        <f t="shared" si="0"/>
        <v>0.18</v>
      </c>
      <c r="C26" s="3">
        <f t="shared" si="1"/>
        <v>0.35046034540829829</v>
      </c>
      <c r="D26" s="2">
        <f t="shared" si="2"/>
        <v>3.9917297453703725E-3</v>
      </c>
      <c r="E26" s="2">
        <f t="shared" si="3"/>
        <v>3.1524429783950625E-3</v>
      </c>
      <c r="F26" s="2">
        <f t="shared" si="4"/>
        <v>0</v>
      </c>
      <c r="G26" s="2">
        <f t="shared" si="5"/>
        <v>3.8974087453703704E-2</v>
      </c>
      <c r="H26" s="2">
        <f t="shared" si="6"/>
        <v>1.0513810362248948E-2</v>
      </c>
      <c r="I26" s="2">
        <f t="shared" si="7"/>
        <v>1.0513810362248947E-3</v>
      </c>
      <c r="J26" s="2">
        <f t="shared" si="8"/>
        <v>0</v>
      </c>
      <c r="K26" s="2">
        <f t="shared" si="11"/>
        <v>2.1027620724497894E-3</v>
      </c>
      <c r="L26" s="2">
        <f t="shared" si="12"/>
        <v>0</v>
      </c>
      <c r="M26" s="2">
        <f t="shared" si="13"/>
        <v>6.0137566711676983E-4</v>
      </c>
      <c r="N26" s="3">
        <f t="shared" si="14"/>
        <v>0.19797716021792303</v>
      </c>
      <c r="O26" s="3">
        <f>SUM(D26:M26,N26)</f>
        <v>0.25836474953343258</v>
      </c>
      <c r="P26" s="3">
        <f t="shared" si="9"/>
        <v>0.89999999999999991</v>
      </c>
      <c r="Q26" s="3">
        <f t="shared" si="15"/>
        <v>77.695734470727203</v>
      </c>
      <c r="R26">
        <f t="shared" si="16"/>
        <v>0.18</v>
      </c>
      <c r="S26" s="1">
        <f>D26+E26+F26+G26+M26</f>
        <v>4.6719635844585911E-2</v>
      </c>
      <c r="T26" s="2">
        <f>SUM(H26:L26)</f>
        <v>1.3667953470923633E-2</v>
      </c>
      <c r="U26" s="3">
        <f>N26/O26*100</f>
        <v>76.627001390646228</v>
      </c>
      <c r="V26" s="5">
        <f>S26/O26*100</f>
        <v>18.082821255203918</v>
      </c>
      <c r="W26" s="5">
        <f>T26/O26*100</f>
        <v>5.2901773541498516</v>
      </c>
    </row>
    <row r="27" spans="1:25" x14ac:dyDescent="0.25">
      <c r="A27">
        <f t="shared" si="10"/>
        <v>8</v>
      </c>
      <c r="B27">
        <f t="shared" si="0"/>
        <v>0.24</v>
      </c>
      <c r="C27" s="3">
        <f t="shared" si="1"/>
        <v>0.38473686293842935</v>
      </c>
      <c r="D27" s="2">
        <f t="shared" si="2"/>
        <v>4.8107297453703728E-3</v>
      </c>
      <c r="E27" s="2">
        <f t="shared" si="3"/>
        <v>3.7992429783950624E-3</v>
      </c>
      <c r="F27" s="2">
        <f t="shared" si="4"/>
        <v>0</v>
      </c>
      <c r="G27" s="2">
        <f t="shared" si="5"/>
        <v>3.9543607453703708E-2</v>
      </c>
      <c r="H27" s="2">
        <f t="shared" si="6"/>
        <v>1.1542105888152882E-2</v>
      </c>
      <c r="I27" s="2">
        <f t="shared" si="7"/>
        <v>1.1542105888152883E-3</v>
      </c>
      <c r="J27" s="2">
        <f t="shared" si="8"/>
        <v>0</v>
      </c>
      <c r="K27" s="2">
        <f t="shared" si="11"/>
        <v>2.3084211776305767E-3</v>
      </c>
      <c r="L27" s="2">
        <f t="shared" si="12"/>
        <v>0</v>
      </c>
      <c r="M27" s="2">
        <f t="shared" si="13"/>
        <v>6.3200066711676989E-4</v>
      </c>
      <c r="N27" s="3">
        <f t="shared" si="14"/>
        <v>0.19797716021792303</v>
      </c>
      <c r="O27" s="3">
        <f>SUM(D27:M27,N27)</f>
        <v>0.2617674787171077</v>
      </c>
      <c r="P27" s="3">
        <f t="shared" si="9"/>
        <v>1.2</v>
      </c>
      <c r="Q27" s="3">
        <f t="shared" si="15"/>
        <v>82.092399610173089</v>
      </c>
      <c r="R27">
        <f t="shared" si="16"/>
        <v>0.24</v>
      </c>
      <c r="S27" s="1">
        <f>D27+E27+F27+G27+M27</f>
        <v>4.8785580844585917E-2</v>
      </c>
      <c r="T27" s="2">
        <f>SUM(H27:L27)</f>
        <v>1.5004737654598746E-2</v>
      </c>
      <c r="U27" s="3">
        <f>N27/O27*100</f>
        <v>75.630922981031219</v>
      </c>
      <c r="V27" s="5">
        <f>S27/O27*100</f>
        <v>18.63699076893678</v>
      </c>
      <c r="W27" s="5">
        <f>T27/O27*100</f>
        <v>5.7320862500319896</v>
      </c>
    </row>
    <row r="28" spans="1:25" x14ac:dyDescent="0.25">
      <c r="A28">
        <f t="shared" si="10"/>
        <v>10</v>
      </c>
      <c r="B28">
        <f t="shared" si="0"/>
        <v>0.3</v>
      </c>
      <c r="C28" s="3">
        <f t="shared" si="1"/>
        <v>0.42476164339980577</v>
      </c>
      <c r="D28" s="2">
        <f t="shared" si="2"/>
        <v>5.863729745370372E-3</v>
      </c>
      <c r="E28" s="2">
        <f t="shared" si="3"/>
        <v>4.6308429783950625E-3</v>
      </c>
      <c r="F28" s="2">
        <f t="shared" si="4"/>
        <v>0</v>
      </c>
      <c r="G28" s="2">
        <f t="shared" si="5"/>
        <v>4.027584745370371E-2</v>
      </c>
      <c r="H28" s="2">
        <f t="shared" si="6"/>
        <v>1.2742849301994175E-2</v>
      </c>
      <c r="I28" s="2">
        <f t="shared" si="7"/>
        <v>1.2742849301994172E-3</v>
      </c>
      <c r="J28" s="2">
        <f t="shared" si="8"/>
        <v>0</v>
      </c>
      <c r="K28" s="2">
        <f t="shared" si="11"/>
        <v>2.5485698603988343E-3</v>
      </c>
      <c r="L28" s="2">
        <f t="shared" si="12"/>
        <v>0</v>
      </c>
      <c r="M28" s="2">
        <f t="shared" si="13"/>
        <v>6.7137566711676991E-4</v>
      </c>
      <c r="N28" s="3">
        <f t="shared" si="14"/>
        <v>0.19797716021792303</v>
      </c>
      <c r="O28" s="3">
        <f>SUM(D28:M28,N28)</f>
        <v>0.26598466015510136</v>
      </c>
      <c r="P28" s="3">
        <f t="shared" si="9"/>
        <v>1.5</v>
      </c>
      <c r="Q28" s="3">
        <f t="shared" si="15"/>
        <v>84.938450137401503</v>
      </c>
      <c r="R28">
        <f t="shared" si="16"/>
        <v>0.3</v>
      </c>
      <c r="S28" s="1">
        <f>D28+E28+F28+G28+M28</f>
        <v>5.1441795844585914E-2</v>
      </c>
      <c r="T28" s="2">
        <f>SUM(H28:L28)</f>
        <v>1.6565704092592427E-2</v>
      </c>
      <c r="U28" s="3">
        <f>N28/O28*100</f>
        <v>74.431796218051943</v>
      </c>
      <c r="V28" s="5">
        <f>S28/O28*100</f>
        <v>19.340136312593778</v>
      </c>
      <c r="W28" s="5">
        <f>T28/O28*100</f>
        <v>6.228067469354289</v>
      </c>
    </row>
    <row r="29" spans="1:25" x14ac:dyDescent="0.25">
      <c r="A29">
        <f t="shared" si="10"/>
        <v>12</v>
      </c>
      <c r="B29">
        <f t="shared" si="0"/>
        <v>0.36</v>
      </c>
      <c r="C29" s="3">
        <f t="shared" si="1"/>
        <v>0.46906551110021272</v>
      </c>
      <c r="D29" s="2">
        <f t="shared" si="2"/>
        <v>7.1507297453703746E-3</v>
      </c>
      <c r="E29" s="2">
        <f t="shared" si="3"/>
        <v>5.6472429783950631E-3</v>
      </c>
      <c r="F29" s="2">
        <f t="shared" si="4"/>
        <v>0</v>
      </c>
      <c r="G29" s="2">
        <f t="shared" si="5"/>
        <v>4.117080745370371E-2</v>
      </c>
      <c r="H29" s="2">
        <f t="shared" si="6"/>
        <v>1.4071965333006383E-2</v>
      </c>
      <c r="I29" s="2">
        <f t="shared" si="7"/>
        <v>1.4071965333006383E-3</v>
      </c>
      <c r="J29" s="2">
        <f t="shared" si="8"/>
        <v>0</v>
      </c>
      <c r="K29" s="2">
        <f t="shared" si="11"/>
        <v>2.8143930666012767E-3</v>
      </c>
      <c r="L29" s="2">
        <f t="shared" si="12"/>
        <v>0</v>
      </c>
      <c r="M29" s="2">
        <f t="shared" si="13"/>
        <v>7.195006671167699E-4</v>
      </c>
      <c r="N29" s="3">
        <f t="shared" si="14"/>
        <v>0.19797716021792303</v>
      </c>
      <c r="O29" s="3">
        <f>SUM(D29:M29,N29)</f>
        <v>0.27095899599541723</v>
      </c>
      <c r="P29" s="3">
        <f t="shared" si="9"/>
        <v>1.7999999999999998</v>
      </c>
      <c r="Q29" s="3">
        <f t="shared" si="15"/>
        <v>86.916254908022495</v>
      </c>
      <c r="R29">
        <f t="shared" si="16"/>
        <v>0.36</v>
      </c>
      <c r="S29" s="1">
        <f>D29+E29+F29+G29+M29</f>
        <v>5.4688280844585914E-2</v>
      </c>
      <c r="T29" s="2">
        <f>SUM(H29:L29)</f>
        <v>1.8293554932908296E-2</v>
      </c>
      <c r="U29" s="3">
        <f>N29/O29*100</f>
        <v>73.065357911671427</v>
      </c>
      <c r="V29" s="5">
        <f>S29/O29*100</f>
        <v>20.183231283271681</v>
      </c>
      <c r="W29" s="5">
        <f>T29/O29*100</f>
        <v>6.7514108050569011</v>
      </c>
    </row>
    <row r="30" spans="1:25" x14ac:dyDescent="0.25">
      <c r="A30">
        <f t="shared" si="10"/>
        <v>14</v>
      </c>
      <c r="B30">
        <f t="shared" si="0"/>
        <v>0.42</v>
      </c>
      <c r="C30" s="3">
        <f t="shared" si="1"/>
        <v>0.51654859762049854</v>
      </c>
      <c r="D30" s="2">
        <f t="shared" si="2"/>
        <v>8.6717297453703726E-3</v>
      </c>
      <c r="E30" s="2">
        <f t="shared" si="3"/>
        <v>6.8484429783950609E-3</v>
      </c>
      <c r="F30" s="2">
        <f t="shared" si="4"/>
        <v>0</v>
      </c>
      <c r="G30" s="2">
        <f t="shared" si="5"/>
        <v>4.2228487453703709E-2</v>
      </c>
      <c r="H30" s="2">
        <f t="shared" si="6"/>
        <v>1.5496457928614957E-2</v>
      </c>
      <c r="I30" s="2">
        <f t="shared" si="7"/>
        <v>1.549645792861496E-3</v>
      </c>
      <c r="J30" s="2">
        <f t="shared" si="8"/>
        <v>0</v>
      </c>
      <c r="K30" s="2">
        <f t="shared" si="11"/>
        <v>3.0992915857229919E-3</v>
      </c>
      <c r="L30" s="2">
        <f t="shared" si="12"/>
        <v>0</v>
      </c>
      <c r="M30" s="2">
        <f t="shared" si="13"/>
        <v>7.7637566711676975E-4</v>
      </c>
      <c r="N30" s="3">
        <f t="shared" si="14"/>
        <v>0.19797716021792303</v>
      </c>
      <c r="O30" s="3">
        <f>SUM(D30:M30,N30)</f>
        <v>0.2766475913697084</v>
      </c>
      <c r="P30" s="3">
        <f t="shared" si="9"/>
        <v>2.1</v>
      </c>
      <c r="Q30" s="3">
        <f t="shared" si="15"/>
        <v>88.359755465038432</v>
      </c>
      <c r="R30">
        <f t="shared" si="16"/>
        <v>0.42</v>
      </c>
      <c r="S30" s="1">
        <f>D30+E30+F30+G30+M30</f>
        <v>5.8525035844585911E-2</v>
      </c>
      <c r="T30" s="2">
        <f>SUM(H30:L30)</f>
        <v>2.0145395307199446E-2</v>
      </c>
      <c r="U30" s="3">
        <f>N30/O30*100</f>
        <v>71.562943757333784</v>
      </c>
      <c r="V30" s="5">
        <f>S30/O30*100</f>
        <v>21.15508599038326</v>
      </c>
      <c r="W30" s="5">
        <f>T30/O30*100</f>
        <v>7.281970252282945</v>
      </c>
    </row>
    <row r="31" spans="1:25" x14ac:dyDescent="0.25">
      <c r="A31">
        <f t="shared" si="10"/>
        <v>16</v>
      </c>
      <c r="B31">
        <f t="shared" si="0"/>
        <v>0.48</v>
      </c>
      <c r="C31" s="3">
        <f t="shared" si="1"/>
        <v>0.5664119116894557</v>
      </c>
      <c r="D31" s="2">
        <f t="shared" si="2"/>
        <v>1.0426729745370374E-2</v>
      </c>
      <c r="E31" s="2">
        <f t="shared" si="3"/>
        <v>8.2344429783950627E-3</v>
      </c>
      <c r="F31" s="2">
        <f t="shared" si="4"/>
        <v>0</v>
      </c>
      <c r="G31" s="2">
        <f t="shared" si="5"/>
        <v>4.3448887453703705E-2</v>
      </c>
      <c r="H31" s="2">
        <f t="shared" si="6"/>
        <v>1.6992357350683673E-2</v>
      </c>
      <c r="I31" s="2">
        <f t="shared" si="7"/>
        <v>1.6992357350683674E-3</v>
      </c>
      <c r="J31" s="2">
        <f t="shared" si="8"/>
        <v>0</v>
      </c>
      <c r="K31" s="2">
        <f t="shared" si="11"/>
        <v>3.3984714701367348E-3</v>
      </c>
      <c r="L31" s="2">
        <f t="shared" si="12"/>
        <v>0</v>
      </c>
      <c r="M31" s="2">
        <f t="shared" si="13"/>
        <v>8.420006671167699E-4</v>
      </c>
      <c r="N31" s="3">
        <f t="shared" si="14"/>
        <v>0.19797716021792303</v>
      </c>
      <c r="O31" s="3">
        <f>SUM(D31:M31,N31)</f>
        <v>0.28301928561839773</v>
      </c>
      <c r="P31" s="3">
        <f t="shared" si="9"/>
        <v>2.4</v>
      </c>
      <c r="Q31" s="3">
        <f t="shared" si="15"/>
        <v>89.451462867395463</v>
      </c>
      <c r="R31">
        <f t="shared" si="16"/>
        <v>0.48</v>
      </c>
      <c r="S31" s="1">
        <f>D31+E31+F31+G31+M31</f>
        <v>6.2952060844585919E-2</v>
      </c>
      <c r="T31" s="2">
        <f>SUM(H31:L31)</f>
        <v>2.2090064555888776E-2</v>
      </c>
      <c r="U31" s="3">
        <f>N31/O31*100</f>
        <v>69.951826705145734</v>
      </c>
      <c r="V31" s="5">
        <f>S31/O31*100</f>
        <v>22.243028671009306</v>
      </c>
      <c r="W31" s="5">
        <f>T31/O31*100</f>
        <v>7.8051446238449573</v>
      </c>
    </row>
    <row r="32" spans="1:25" x14ac:dyDescent="0.25">
      <c r="A32">
        <f t="shared" si="10"/>
        <v>18</v>
      </c>
      <c r="B32">
        <f t="shared" si="0"/>
        <v>0.54</v>
      </c>
      <c r="C32" s="3">
        <f t="shared" si="1"/>
        <v>0.61807964996730302</v>
      </c>
      <c r="D32" s="2">
        <f t="shared" si="2"/>
        <v>1.2415729745370377E-2</v>
      </c>
      <c r="E32" s="2">
        <f t="shared" si="3"/>
        <v>9.8052429783950651E-3</v>
      </c>
      <c r="F32" s="2">
        <f t="shared" si="4"/>
        <v>0</v>
      </c>
      <c r="G32" s="2">
        <f t="shared" si="5"/>
        <v>4.4832007453703707E-2</v>
      </c>
      <c r="H32" s="2">
        <f t="shared" si="6"/>
        <v>1.8542389499019089E-2</v>
      </c>
      <c r="I32" s="2">
        <f t="shared" si="7"/>
        <v>1.8542389499019093E-3</v>
      </c>
      <c r="J32" s="2">
        <f t="shared" si="8"/>
        <v>0</v>
      </c>
      <c r="K32" s="2">
        <f t="shared" si="11"/>
        <v>3.7084778998038186E-3</v>
      </c>
      <c r="L32" s="2">
        <f t="shared" si="12"/>
        <v>0</v>
      </c>
      <c r="M32" s="2">
        <f t="shared" si="13"/>
        <v>9.163756671167699E-4</v>
      </c>
      <c r="N32" s="3">
        <f t="shared" si="14"/>
        <v>0.19797716021792303</v>
      </c>
      <c r="O32" s="3">
        <f>SUM(D32:M32,N32)</f>
        <v>0.29005162241123378</v>
      </c>
      <c r="P32" s="3">
        <f t="shared" si="9"/>
        <v>2.7</v>
      </c>
      <c r="Q32" s="3">
        <f t="shared" si="15"/>
        <v>90.299444322726089</v>
      </c>
      <c r="R32">
        <f t="shared" si="16"/>
        <v>0.54</v>
      </c>
      <c r="S32" s="1">
        <f>D32+E32+F32+G32+M32</f>
        <v>6.7969355844585924E-2</v>
      </c>
      <c r="T32" s="2">
        <f>SUM(H32:L32)</f>
        <v>2.4105106348724818E-2</v>
      </c>
      <c r="U32" s="3">
        <f>N32/O32*100</f>
        <v>68.255836175683228</v>
      </c>
      <c r="V32" s="5">
        <f>S32/O32*100</f>
        <v>23.43353754740227</v>
      </c>
      <c r="W32" s="5">
        <f>T32/O32*100</f>
        <v>8.3106262769144976</v>
      </c>
    </row>
    <row r="33" spans="1:23" x14ac:dyDescent="0.25">
      <c r="A33">
        <f t="shared" si="10"/>
        <v>20</v>
      </c>
      <c r="B33">
        <f t="shared" si="0"/>
        <v>0.6</v>
      </c>
      <c r="C33" s="3">
        <f t="shared" si="1"/>
        <v>0.67113519778335551</v>
      </c>
      <c r="D33" s="2">
        <f t="shared" si="2"/>
        <v>1.4638729745370371E-2</v>
      </c>
      <c r="E33" s="2">
        <f t="shared" si="3"/>
        <v>1.1560842978395059E-2</v>
      </c>
      <c r="F33" s="2">
        <f t="shared" si="4"/>
        <v>0</v>
      </c>
      <c r="G33" s="2">
        <f t="shared" si="5"/>
        <v>4.6377847453703706E-2</v>
      </c>
      <c r="H33" s="2">
        <f t="shared" si="6"/>
        <v>2.0134055933500667E-2</v>
      </c>
      <c r="I33" s="2">
        <f t="shared" si="7"/>
        <v>2.0134055933500664E-3</v>
      </c>
      <c r="J33" s="2">
        <f t="shared" si="8"/>
        <v>0</v>
      </c>
      <c r="K33" s="2">
        <f t="shared" si="11"/>
        <v>4.0268111867001327E-3</v>
      </c>
      <c r="L33" s="2">
        <f t="shared" si="12"/>
        <v>0</v>
      </c>
      <c r="M33" s="2">
        <f t="shared" si="13"/>
        <v>9.9950066711676977E-4</v>
      </c>
      <c r="N33" s="3">
        <f t="shared" si="14"/>
        <v>0.19797716021792303</v>
      </c>
      <c r="O33" s="3">
        <f>SUM(D33:M33,N33)</f>
        <v>0.29772835377605977</v>
      </c>
      <c r="P33" s="3">
        <f t="shared" si="9"/>
        <v>3</v>
      </c>
      <c r="Q33" s="3">
        <f t="shared" si="15"/>
        <v>90.971713803074579</v>
      </c>
      <c r="R33">
        <f t="shared" si="16"/>
        <v>0.6</v>
      </c>
      <c r="S33" s="1">
        <f>D33+E33+F33+G33+M33</f>
        <v>7.3576920844585905E-2</v>
      </c>
      <c r="T33" s="2">
        <f>SUM(H33:L33)</f>
        <v>2.6174272713550866E-2</v>
      </c>
      <c r="U33" s="3">
        <f>N33/O33*100</f>
        <v>66.495903969842956</v>
      </c>
      <c r="V33" s="5">
        <f>S33/O33*100</f>
        <v>24.712769177479057</v>
      </c>
      <c r="W33" s="5">
        <f>T33/O33*100</f>
        <v>8.7913268526779902</v>
      </c>
    </row>
    <row r="34" spans="1:23" x14ac:dyDescent="0.25">
      <c r="A34">
        <f t="shared" si="10"/>
        <v>22</v>
      </c>
      <c r="B34">
        <f t="shared" si="0"/>
        <v>0.66</v>
      </c>
      <c r="C34" s="3">
        <f t="shared" si="1"/>
        <v>0.72527405420551461</v>
      </c>
      <c r="D34" s="2">
        <f t="shared" si="2"/>
        <v>1.709572974537037E-2</v>
      </c>
      <c r="E34" s="2">
        <f t="shared" si="3"/>
        <v>1.3501242978395061E-2</v>
      </c>
      <c r="F34" s="2">
        <f t="shared" si="4"/>
        <v>0</v>
      </c>
      <c r="G34" s="2">
        <f t="shared" si="5"/>
        <v>4.8086407453703711E-2</v>
      </c>
      <c r="H34" s="2">
        <f t="shared" si="6"/>
        <v>2.1758221626165444E-2</v>
      </c>
      <c r="I34" s="2">
        <f t="shared" si="7"/>
        <v>2.1758221626165439E-3</v>
      </c>
      <c r="J34" s="2">
        <f t="shared" si="8"/>
        <v>0</v>
      </c>
      <c r="K34" s="2">
        <f t="shared" si="11"/>
        <v>4.3516443252330879E-3</v>
      </c>
      <c r="L34" s="2">
        <f t="shared" si="12"/>
        <v>0</v>
      </c>
      <c r="M34" s="2">
        <f t="shared" si="13"/>
        <v>1.0913756671167697E-3</v>
      </c>
      <c r="N34" s="3">
        <f t="shared" si="14"/>
        <v>0.19797716021792303</v>
      </c>
      <c r="O34" s="3">
        <f>SUM(D34:M34,N34)</f>
        <v>0.30603760417652404</v>
      </c>
      <c r="P34" s="3">
        <f t="shared" si="9"/>
        <v>3.3000000000000003</v>
      </c>
      <c r="Q34" s="3">
        <f t="shared" si="15"/>
        <v>91.513188774790635</v>
      </c>
      <c r="R34">
        <f t="shared" si="16"/>
        <v>0.66</v>
      </c>
      <c r="S34" s="1">
        <f>D34+E34+F34+G34+M34</f>
        <v>7.9774755844585918E-2</v>
      </c>
      <c r="T34" s="2">
        <f>SUM(H34:L34)</f>
        <v>2.8285688114015075E-2</v>
      </c>
      <c r="U34" s="3">
        <f>N34/O34*100</f>
        <v>64.690468594744587</v>
      </c>
      <c r="V34" s="5">
        <f>S34/O34*100</f>
        <v>26.066978291521142</v>
      </c>
      <c r="W34" s="5">
        <f>T34/O34*100</f>
        <v>9.2425531137342674</v>
      </c>
    </row>
    <row r="35" spans="1:23" x14ac:dyDescent="0.25">
      <c r="A35">
        <f t="shared" si="10"/>
        <v>24</v>
      </c>
      <c r="B35">
        <f t="shared" si="0"/>
        <v>0.72</v>
      </c>
      <c r="C35" s="3">
        <f t="shared" si="1"/>
        <v>0.78027075666316226</v>
      </c>
      <c r="D35" s="2">
        <f t="shared" si="2"/>
        <v>1.9786729745370376E-2</v>
      </c>
      <c r="E35" s="2">
        <f t="shared" si="3"/>
        <v>1.5626442978395064E-2</v>
      </c>
      <c r="F35" s="2">
        <f t="shared" si="4"/>
        <v>0</v>
      </c>
      <c r="G35" s="2">
        <f t="shared" si="5"/>
        <v>4.9957687453703714E-2</v>
      </c>
      <c r="H35" s="2">
        <f t="shared" si="6"/>
        <v>2.3408122699894871E-2</v>
      </c>
      <c r="I35" s="2">
        <f t="shared" si="7"/>
        <v>2.3408122699894868E-3</v>
      </c>
      <c r="J35" s="2">
        <f t="shared" si="8"/>
        <v>0</v>
      </c>
      <c r="K35" s="2">
        <f t="shared" si="11"/>
        <v>4.6816245399789735E-3</v>
      </c>
      <c r="L35" s="2">
        <f t="shared" si="12"/>
        <v>0</v>
      </c>
      <c r="M35" s="2">
        <f t="shared" si="13"/>
        <v>1.1920006671167699E-3</v>
      </c>
      <c r="N35" s="3">
        <f t="shared" si="14"/>
        <v>0.19797716021792303</v>
      </c>
      <c r="O35" s="3">
        <f>SUM(D35:M35,N35)</f>
        <v>0.31497058057237226</v>
      </c>
      <c r="P35" s="3">
        <f t="shared" si="9"/>
        <v>3.5999999999999996</v>
      </c>
      <c r="Q35" s="3">
        <f t="shared" si="15"/>
        <v>91.954713985965043</v>
      </c>
      <c r="R35">
        <f t="shared" si="16"/>
        <v>0.72</v>
      </c>
      <c r="S35" s="1">
        <f>D35+E35+F35+G35+M35</f>
        <v>8.656286084458592E-2</v>
      </c>
      <c r="T35" s="2">
        <f>SUM(H35:L35)</f>
        <v>3.0430559509863331E-2</v>
      </c>
      <c r="U35" s="3">
        <f>N35/O35*100</f>
        <v>62.855762547141417</v>
      </c>
      <c r="V35" s="5">
        <f>S35/O35*100</f>
        <v>27.482840044070713</v>
      </c>
      <c r="W35" s="5">
        <f>T35/O35*100</f>
        <v>9.6613974087878844</v>
      </c>
    </row>
    <row r="36" spans="1:23" x14ac:dyDescent="0.25">
      <c r="A36">
        <f t="shared" si="10"/>
        <v>26</v>
      </c>
      <c r="B36">
        <f t="shared" si="0"/>
        <v>0.78</v>
      </c>
      <c r="C36" s="3">
        <f t="shared" si="1"/>
        <v>0.8359560118234115</v>
      </c>
      <c r="D36" s="2">
        <f t="shared" si="2"/>
        <v>2.2711729745370373E-2</v>
      </c>
      <c r="E36" s="2">
        <f t="shared" si="3"/>
        <v>1.793644297839506E-2</v>
      </c>
      <c r="F36" s="2">
        <f t="shared" si="4"/>
        <v>0</v>
      </c>
      <c r="G36" s="2">
        <f t="shared" si="5"/>
        <v>5.1991687453703708E-2</v>
      </c>
      <c r="H36" s="2">
        <f t="shared" si="6"/>
        <v>2.5078680354702346E-2</v>
      </c>
      <c r="I36" s="2">
        <f t="shared" si="7"/>
        <v>2.5078680354702347E-3</v>
      </c>
      <c r="J36" s="2">
        <f t="shared" si="8"/>
        <v>0</v>
      </c>
      <c r="K36" s="2">
        <f t="shared" si="11"/>
        <v>5.0157360709404695E-3</v>
      </c>
      <c r="L36" s="2">
        <f t="shared" si="12"/>
        <v>0</v>
      </c>
      <c r="M36" s="2">
        <f t="shared" si="13"/>
        <v>1.3013756671167696E-3</v>
      </c>
      <c r="N36" s="3">
        <f t="shared" si="14"/>
        <v>0.19797716021792303</v>
      </c>
      <c r="O36" s="3">
        <f>SUM(D36:M36,N36)</f>
        <v>0.32452068052362198</v>
      </c>
      <c r="P36" s="3">
        <f t="shared" si="9"/>
        <v>3.9000000000000004</v>
      </c>
      <c r="Q36" s="3">
        <f t="shared" si="15"/>
        <v>92.318165655579222</v>
      </c>
      <c r="R36">
        <f t="shared" si="16"/>
        <v>0.78</v>
      </c>
      <c r="S36" s="1">
        <f>D36+E36+F36+G36+M36</f>
        <v>9.3941235844585913E-2</v>
      </c>
      <c r="T36" s="2">
        <f>SUM(H36:L36)</f>
        <v>3.2602284461113053E-2</v>
      </c>
      <c r="U36" s="3">
        <f>N36/O36*100</f>
        <v>61.006022759006321</v>
      </c>
      <c r="V36" s="5">
        <f>S36/O36*100</f>
        <v>28.94768853960538</v>
      </c>
      <c r="W36" s="5">
        <f>T36/O36*100</f>
        <v>10.046288701388299</v>
      </c>
    </row>
    <row r="37" spans="1:23" x14ac:dyDescent="0.25">
      <c r="A37">
        <f t="shared" si="10"/>
        <v>28</v>
      </c>
      <c r="B37">
        <f t="shared" si="0"/>
        <v>0.84</v>
      </c>
      <c r="C37" s="3">
        <f t="shared" si="1"/>
        <v>0.89220090433920973</v>
      </c>
      <c r="D37" s="2">
        <f t="shared" si="2"/>
        <v>2.5870729745370372E-2</v>
      </c>
      <c r="E37" s="2">
        <f t="shared" si="3"/>
        <v>2.0431242978395062E-2</v>
      </c>
      <c r="F37" s="2">
        <f t="shared" si="4"/>
        <v>0</v>
      </c>
      <c r="G37" s="2">
        <f t="shared" si="5"/>
        <v>5.4188407453703707E-2</v>
      </c>
      <c r="H37" s="2">
        <f t="shared" si="6"/>
        <v>2.6766027130176298E-2</v>
      </c>
      <c r="I37" s="2">
        <f t="shared" si="7"/>
        <v>2.676602713017629E-3</v>
      </c>
      <c r="J37" s="2">
        <f t="shared" si="8"/>
        <v>0</v>
      </c>
      <c r="K37" s="2">
        <f t="shared" si="11"/>
        <v>5.3532054260352581E-3</v>
      </c>
      <c r="L37" s="2">
        <f t="shared" si="12"/>
        <v>0</v>
      </c>
      <c r="M37" s="2">
        <f t="shared" si="13"/>
        <v>1.41950066711677E-3</v>
      </c>
      <c r="N37" s="3">
        <f t="shared" si="14"/>
        <v>0.19797716021792303</v>
      </c>
      <c r="O37" s="3">
        <f>SUM(D37:M37,N37)</f>
        <v>0.3346828763317381</v>
      </c>
      <c r="P37" s="3">
        <f t="shared" si="9"/>
        <v>4.2</v>
      </c>
      <c r="Q37" s="3">
        <f t="shared" si="15"/>
        <v>92.619486622127937</v>
      </c>
      <c r="R37">
        <f t="shared" si="16"/>
        <v>0.84</v>
      </c>
      <c r="S37" s="1">
        <f>D37+E37+F37+G37+M37</f>
        <v>0.10190988084458591</v>
      </c>
      <c r="T37" s="2">
        <f>SUM(H37:L37)</f>
        <v>3.4795835269229185E-2</v>
      </c>
      <c r="U37" s="3">
        <f>N37/O37*100</f>
        <v>59.153656855060554</v>
      </c>
      <c r="V37" s="5">
        <f>S37/O37*100</f>
        <v>30.449684776693715</v>
      </c>
      <c r="W37" s="5">
        <f>T37/O37*100</f>
        <v>10.396658368245738</v>
      </c>
    </row>
    <row r="38" spans="1:23" x14ac:dyDescent="0.25">
      <c r="A38">
        <f t="shared" si="10"/>
        <v>30</v>
      </c>
      <c r="B38">
        <f t="shared" si="0"/>
        <v>0.9</v>
      </c>
      <c r="C38" s="3">
        <f t="shared" si="1"/>
        <v>0.94890592458035783</v>
      </c>
      <c r="D38" s="2">
        <f t="shared" si="2"/>
        <v>2.9263729745370375E-2</v>
      </c>
      <c r="E38" s="2">
        <f t="shared" si="3"/>
        <v>2.3110842978395059E-2</v>
      </c>
      <c r="F38" s="2">
        <f t="shared" si="4"/>
        <v>0</v>
      </c>
      <c r="G38" s="2">
        <f t="shared" si="5"/>
        <v>5.6547847453703712E-2</v>
      </c>
      <c r="H38" s="2">
        <f t="shared" si="6"/>
        <v>2.8467177737410733E-2</v>
      </c>
      <c r="I38" s="2">
        <f t="shared" si="7"/>
        <v>2.8467177737410733E-3</v>
      </c>
      <c r="J38" s="2">
        <f t="shared" si="8"/>
        <v>0</v>
      </c>
      <c r="K38" s="2">
        <f t="shared" si="11"/>
        <v>5.6934355474821466E-3</v>
      </c>
      <c r="L38" s="2">
        <f t="shared" si="12"/>
        <v>0</v>
      </c>
      <c r="M38" s="2">
        <f t="shared" si="13"/>
        <v>1.5463756671167703E-3</v>
      </c>
      <c r="N38" s="3">
        <f t="shared" si="14"/>
        <v>0.19797716021792303</v>
      </c>
      <c r="O38" s="3">
        <f>SUM(D38:M38,N38)</f>
        <v>0.34545328712114287</v>
      </c>
      <c r="P38" s="3">
        <f t="shared" si="9"/>
        <v>4.5</v>
      </c>
      <c r="Q38" s="3">
        <f t="shared" si="15"/>
        <v>92.870568207945951</v>
      </c>
      <c r="R38">
        <f t="shared" si="16"/>
        <v>0.9</v>
      </c>
      <c r="S38" s="1">
        <f>D38+E38+F38+G38+M38</f>
        <v>0.11046879584458591</v>
      </c>
      <c r="T38" s="2">
        <f>SUM(H38:L38)</f>
        <v>3.7007331058633956E-2</v>
      </c>
      <c r="U38" s="3">
        <f>N38/O38*100</f>
        <v>57.309386709785969</v>
      </c>
      <c r="V38" s="5">
        <f>S38/O38*100</f>
        <v>31.97792580443646</v>
      </c>
      <c r="W38" s="5">
        <f>T38/O38*100</f>
        <v>10.712687485777577</v>
      </c>
    </row>
    <row r="39" spans="1:23" x14ac:dyDescent="0.25">
      <c r="A39">
        <f t="shared" si="10"/>
        <v>32</v>
      </c>
      <c r="B39">
        <f t="shared" si="0"/>
        <v>0.96</v>
      </c>
      <c r="C39" s="3">
        <f t="shared" si="1"/>
        <v>1.0059932672258318</v>
      </c>
      <c r="D39" s="2">
        <f t="shared" si="2"/>
        <v>3.2890729745370377E-2</v>
      </c>
      <c r="E39" s="2">
        <f t="shared" si="3"/>
        <v>2.5975242978395065E-2</v>
      </c>
      <c r="F39" s="2">
        <f t="shared" si="4"/>
        <v>0</v>
      </c>
      <c r="G39" s="2">
        <f t="shared" si="5"/>
        <v>5.9070007453703714E-2</v>
      </c>
      <c r="H39" s="2">
        <f t="shared" si="6"/>
        <v>3.0179798016774954E-2</v>
      </c>
      <c r="I39" s="2">
        <f t="shared" si="7"/>
        <v>3.0179798016774957E-3</v>
      </c>
      <c r="J39" s="2">
        <f t="shared" si="8"/>
        <v>0</v>
      </c>
      <c r="K39" s="2">
        <f t="shared" si="11"/>
        <v>6.0359596033549914E-3</v>
      </c>
      <c r="L39" s="2">
        <f t="shared" si="12"/>
        <v>0</v>
      </c>
      <c r="M39" s="2">
        <f t="shared" si="13"/>
        <v>1.6820006671167701E-3</v>
      </c>
      <c r="N39" s="3">
        <f t="shared" si="14"/>
        <v>0.19797716021792303</v>
      </c>
      <c r="O39" s="3">
        <f>SUM(D39:M39,N39)</f>
        <v>0.35682887848431638</v>
      </c>
      <c r="P39" s="3">
        <f t="shared" si="9"/>
        <v>4.8</v>
      </c>
      <c r="Q39" s="3">
        <f t="shared" si="15"/>
        <v>93.080459195124675</v>
      </c>
      <c r="R39">
        <f t="shared" si="16"/>
        <v>0.96</v>
      </c>
      <c r="S39" s="1">
        <f>D39+E39+F39+G39+M39</f>
        <v>0.11961798084458591</v>
      </c>
      <c r="T39" s="2">
        <f>SUM(H39:L39)</f>
        <v>3.9233737421807441E-2</v>
      </c>
      <c r="U39" s="3">
        <f>N39/O39*100</f>
        <v>55.482381655560054</v>
      </c>
      <c r="V39" s="5">
        <f>S39/O39*100</f>
        <v>33.522505620251657</v>
      </c>
      <c r="W39" s="5">
        <f>T39/O39*100</f>
        <v>10.99511272418829</v>
      </c>
    </row>
    <row r="40" spans="1:23" x14ac:dyDescent="0.25">
      <c r="A40">
        <f t="shared" si="10"/>
        <v>34</v>
      </c>
      <c r="B40">
        <f t="shared" si="0"/>
        <v>1.02</v>
      </c>
      <c r="C40" s="3">
        <f t="shared" si="1"/>
        <v>1.0634013605895489</v>
      </c>
      <c r="D40" s="2">
        <f t="shared" si="2"/>
        <v>3.675172974537038E-2</v>
      </c>
      <c r="E40" s="2">
        <f t="shared" si="3"/>
        <v>2.9024442978395064E-2</v>
      </c>
      <c r="F40" s="2">
        <f t="shared" si="4"/>
        <v>0</v>
      </c>
      <c r="G40" s="2">
        <f t="shared" si="5"/>
        <v>6.1754887453703715E-2</v>
      </c>
      <c r="H40" s="2">
        <f t="shared" si="6"/>
        <v>3.1902040817686474E-2</v>
      </c>
      <c r="I40" s="2">
        <f t="shared" si="7"/>
        <v>3.1902040817686473E-3</v>
      </c>
      <c r="J40" s="2">
        <f t="shared" si="8"/>
        <v>0</v>
      </c>
      <c r="K40" s="2">
        <f t="shared" si="11"/>
        <v>6.3804081635372946E-3</v>
      </c>
      <c r="L40" s="2">
        <f t="shared" si="12"/>
        <v>0</v>
      </c>
      <c r="M40" s="2">
        <f t="shared" si="13"/>
        <v>1.8263756671167697E-3</v>
      </c>
      <c r="N40" s="3">
        <f t="shared" si="14"/>
        <v>0.19797716021792303</v>
      </c>
      <c r="O40" s="3">
        <f>SUM(D40:M40,N40)</f>
        <v>0.36880724912550134</v>
      </c>
      <c r="P40" s="3">
        <f t="shared" si="9"/>
        <v>5.0999999999999996</v>
      </c>
      <c r="Q40" s="3">
        <f t="shared" si="15"/>
        <v>93.256166613213949</v>
      </c>
      <c r="R40">
        <f t="shared" si="16"/>
        <v>1.02</v>
      </c>
      <c r="S40" s="1">
        <f>D40+E40+F40+G40+M40</f>
        <v>0.12935743584458592</v>
      </c>
      <c r="T40" s="2">
        <f>SUM(H40:L40)</f>
        <v>4.1472653062992415E-2</v>
      </c>
      <c r="U40" s="3">
        <f>N40/O40*100</f>
        <v>53.680387434725674</v>
      </c>
      <c r="V40" s="5">
        <f>S40/O40*100</f>
        <v>35.07453721457815</v>
      </c>
      <c r="W40" s="5">
        <f>T40/O40*100</f>
        <v>11.245075350696183</v>
      </c>
    </row>
    <row r="41" spans="1:23" x14ac:dyDescent="0.25">
      <c r="A41">
        <f t="shared" si="10"/>
        <v>36</v>
      </c>
      <c r="B41">
        <f t="shared" si="0"/>
        <v>1.08</v>
      </c>
      <c r="C41" s="3">
        <f t="shared" si="1"/>
        <v>1.1210809309339373</v>
      </c>
      <c r="D41" s="2">
        <f t="shared" si="2"/>
        <v>4.0846729745370375E-2</v>
      </c>
      <c r="E41" s="2">
        <f t="shared" si="3"/>
        <v>3.2258442978395058E-2</v>
      </c>
      <c r="F41" s="2">
        <f t="shared" si="4"/>
        <v>0</v>
      </c>
      <c r="G41" s="2">
        <f t="shared" si="5"/>
        <v>6.46024874537037E-2</v>
      </c>
      <c r="H41" s="2">
        <f t="shared" si="6"/>
        <v>3.3632427928018127E-2</v>
      </c>
      <c r="I41" s="2">
        <f t="shared" si="7"/>
        <v>3.3632427928018123E-3</v>
      </c>
      <c r="J41" s="2">
        <f t="shared" si="8"/>
        <v>0</v>
      </c>
      <c r="K41" s="2">
        <f t="shared" si="11"/>
        <v>6.7264855856036245E-3</v>
      </c>
      <c r="L41" s="2">
        <f t="shared" si="12"/>
        <v>0</v>
      </c>
      <c r="M41" s="2">
        <f t="shared" si="13"/>
        <v>1.9795006671167702E-3</v>
      </c>
      <c r="N41" s="3">
        <f t="shared" si="14"/>
        <v>0.19797716021792303</v>
      </c>
      <c r="O41" s="3">
        <f>SUM(D41:M41,N41)</f>
        <v>0.3813864773689325</v>
      </c>
      <c r="P41" s="3">
        <f t="shared" si="9"/>
        <v>5.4</v>
      </c>
      <c r="Q41" s="3">
        <f t="shared" si="15"/>
        <v>93.403200445743266</v>
      </c>
      <c r="R41">
        <f t="shared" si="16"/>
        <v>1.08</v>
      </c>
      <c r="S41" s="1">
        <f>D41+E41+F41+G41+M41</f>
        <v>0.13968716084458591</v>
      </c>
      <c r="T41" s="2">
        <f>SUM(H41:L41)</f>
        <v>4.3722156306423565E-2</v>
      </c>
      <c r="U41" s="3">
        <f>N41/O41*100</f>
        <v>51.909853118995272</v>
      </c>
      <c r="V41" s="5">
        <f>S41/O41*100</f>
        <v>36.626144117181205</v>
      </c>
      <c r="W41" s="5">
        <f>T41/O41*100</f>
        <v>11.464002763823515</v>
      </c>
    </row>
    <row r="42" spans="1:23" x14ac:dyDescent="0.25">
      <c r="A42">
        <f t="shared" si="10"/>
        <v>38</v>
      </c>
      <c r="B42">
        <f t="shared" si="0"/>
        <v>1.1399999999999999</v>
      </c>
      <c r="C42" s="3">
        <f t="shared" si="1"/>
        <v>1.1789921347081598</v>
      </c>
      <c r="D42" s="2">
        <f t="shared" si="2"/>
        <v>4.5175729745370374E-2</v>
      </c>
      <c r="E42" s="2">
        <f t="shared" si="3"/>
        <v>3.5677242978395057E-2</v>
      </c>
      <c r="F42" s="2">
        <f t="shared" si="4"/>
        <v>0</v>
      </c>
      <c r="G42" s="2">
        <f t="shared" si="5"/>
        <v>6.761280745370371E-2</v>
      </c>
      <c r="H42" s="2">
        <f t="shared" si="6"/>
        <v>3.5369764041244797E-2</v>
      </c>
      <c r="I42" s="2">
        <f t="shared" si="7"/>
        <v>3.5369764041244798E-3</v>
      </c>
      <c r="J42" s="2">
        <f t="shared" si="8"/>
        <v>0</v>
      </c>
      <c r="K42" s="2">
        <f t="shared" si="11"/>
        <v>7.0739528082489596E-3</v>
      </c>
      <c r="L42" s="2">
        <f t="shared" si="12"/>
        <v>0</v>
      </c>
      <c r="M42" s="2">
        <f t="shared" si="13"/>
        <v>2.1413756671167694E-3</v>
      </c>
      <c r="N42" s="3">
        <f t="shared" si="14"/>
        <v>0.19797716021792303</v>
      </c>
      <c r="O42" s="3">
        <f>SUM(D42:M42,N42)</f>
        <v>0.3945650093161272</v>
      </c>
      <c r="P42" s="3">
        <f t="shared" si="9"/>
        <v>5.6999999999999993</v>
      </c>
      <c r="Q42" s="3">
        <f t="shared" si="15"/>
        <v>93.52595289880415</v>
      </c>
      <c r="R42">
        <f t="shared" si="16"/>
        <v>1.1399999999999999</v>
      </c>
      <c r="S42" s="1">
        <f>D42+E42+F42+G42+M42</f>
        <v>0.15060715584458592</v>
      </c>
      <c r="T42" s="2">
        <f>SUM(H42:L42)</f>
        <v>4.5980693253618241E-2</v>
      </c>
      <c r="U42" s="3">
        <f>N42/O42*100</f>
        <v>50.176056047408622</v>
      </c>
      <c r="V42" s="5">
        <f>S42/O42*100</f>
        <v>38.170428773099545</v>
      </c>
      <c r="W42" s="5">
        <f>T42/O42*100</f>
        <v>11.653515179491832</v>
      </c>
    </row>
    <row r="43" spans="1:23" x14ac:dyDescent="0.25">
      <c r="A43">
        <f t="shared" si="10"/>
        <v>40</v>
      </c>
      <c r="B43">
        <f t="shared" si="0"/>
        <v>1.2</v>
      </c>
      <c r="C43" s="3">
        <f t="shared" si="1"/>
        <v>1.2371024426876311</v>
      </c>
      <c r="D43" s="2">
        <f t="shared" si="2"/>
        <v>4.9738729745370379E-2</v>
      </c>
      <c r="E43" s="2">
        <f t="shared" si="3"/>
        <v>3.9280842978395056E-2</v>
      </c>
      <c r="F43" s="2">
        <f t="shared" si="4"/>
        <v>0</v>
      </c>
      <c r="G43" s="2">
        <f t="shared" si="5"/>
        <v>7.0785847453703699E-2</v>
      </c>
      <c r="H43" s="2">
        <f t="shared" si="6"/>
        <v>3.7113073280628933E-2</v>
      </c>
      <c r="I43" s="2">
        <f t="shared" si="7"/>
        <v>3.7113073280628938E-3</v>
      </c>
      <c r="J43" s="2">
        <f t="shared" si="8"/>
        <v>0</v>
      </c>
      <c r="K43" s="2">
        <f t="shared" si="11"/>
        <v>7.4226146561257875E-3</v>
      </c>
      <c r="L43" s="2">
        <f t="shared" si="12"/>
        <v>0</v>
      </c>
      <c r="M43" s="2">
        <f t="shared" si="13"/>
        <v>2.3120006671167696E-3</v>
      </c>
      <c r="N43" s="3">
        <f t="shared" si="14"/>
        <v>0.19797716021792303</v>
      </c>
      <c r="O43" s="3">
        <f>SUM(D43:M43,N43)</f>
        <v>0.40834157632732654</v>
      </c>
      <c r="P43" s="3">
        <f t="shared" si="9"/>
        <v>6</v>
      </c>
      <c r="Q43" s="3">
        <f t="shared" si="15"/>
        <v>93.627967993532735</v>
      </c>
      <c r="R43">
        <f t="shared" si="16"/>
        <v>1.2</v>
      </c>
      <c r="S43" s="1">
        <f>D43+E43+F43+G43+M43</f>
        <v>0.16211742084458589</v>
      </c>
      <c r="T43" s="2">
        <f>SUM(H43:L43)</f>
        <v>4.8246995264817613E-2</v>
      </c>
      <c r="U43" s="3">
        <f>N43/O43*100</f>
        <v>48.483223775191718</v>
      </c>
      <c r="V43" s="5">
        <f>S43/O43*100</f>
        <v>39.701424063326968</v>
      </c>
      <c r="W43" s="5">
        <f>T43/O43*100</f>
        <v>11.815352161481306</v>
      </c>
    </row>
    <row r="44" spans="1:23" x14ac:dyDescent="0.25">
      <c r="A44">
        <f t="shared" si="10"/>
        <v>42</v>
      </c>
      <c r="B44">
        <f t="shared" si="0"/>
        <v>1.26</v>
      </c>
      <c r="C44" s="3">
        <f t="shared" si="1"/>
        <v>1.2953850600125447</v>
      </c>
      <c r="D44" s="2">
        <f t="shared" si="2"/>
        <v>5.4535729745370388E-2</v>
      </c>
      <c r="E44" s="2">
        <f t="shared" si="3"/>
        <v>4.3069242978395067E-2</v>
      </c>
      <c r="F44" s="2">
        <f t="shared" si="4"/>
        <v>0</v>
      </c>
      <c r="G44" s="2">
        <f t="shared" si="5"/>
        <v>7.412160745370372E-2</v>
      </c>
      <c r="H44" s="2">
        <f t="shared" si="6"/>
        <v>3.8861551800376343E-2</v>
      </c>
      <c r="I44" s="2">
        <f t="shared" si="7"/>
        <v>3.8861551800376342E-3</v>
      </c>
      <c r="J44" s="2">
        <f t="shared" si="8"/>
        <v>0</v>
      </c>
      <c r="K44" s="2">
        <f t="shared" si="11"/>
        <v>7.7723103600752684E-3</v>
      </c>
      <c r="L44" s="2">
        <f t="shared" si="12"/>
        <v>0</v>
      </c>
      <c r="M44" s="2">
        <f t="shared" si="13"/>
        <v>2.4913756671167708E-3</v>
      </c>
      <c r="N44" s="3">
        <f t="shared" si="14"/>
        <v>0.19797716021792303</v>
      </c>
      <c r="O44" s="3">
        <f>SUM(D44:M44,N44)</f>
        <v>0.42271513340299821</v>
      </c>
      <c r="P44" s="3">
        <f t="shared" si="9"/>
        <v>6.3</v>
      </c>
      <c r="Q44" s="3">
        <f t="shared" si="15"/>
        <v>93.712136762977465</v>
      </c>
      <c r="R44">
        <f t="shared" si="16"/>
        <v>1.26</v>
      </c>
      <c r="S44" s="1">
        <f>D44+E44+F44+G44+M44</f>
        <v>0.17421795584458594</v>
      </c>
      <c r="T44" s="2">
        <f>SUM(H44:L44)</f>
        <v>5.0520017340489241E-2</v>
      </c>
      <c r="U44" s="3">
        <f>N44/O44*100</f>
        <v>46.834651653973367</v>
      </c>
      <c r="V44" s="5">
        <f>S44/O44*100</f>
        <v>41.21403329993727</v>
      </c>
      <c r="W44" s="5">
        <f>T44/O44*100</f>
        <v>11.951315046089361</v>
      </c>
    </row>
    <row r="45" spans="1:23" x14ac:dyDescent="0.25">
      <c r="A45">
        <f t="shared" si="10"/>
        <v>44</v>
      </c>
      <c r="B45">
        <f t="shared" si="0"/>
        <v>1.32</v>
      </c>
      <c r="C45" s="3">
        <f t="shared" si="1"/>
        <v>1.353817732822149</v>
      </c>
      <c r="D45" s="2">
        <f t="shared" si="2"/>
        <v>5.9566729745370368E-2</v>
      </c>
      <c r="E45" s="2">
        <f t="shared" si="3"/>
        <v>4.7042442978395056E-2</v>
      </c>
      <c r="F45" s="2">
        <f t="shared" si="4"/>
        <v>0</v>
      </c>
      <c r="G45" s="2">
        <f t="shared" si="5"/>
        <v>7.7620087453703718E-2</v>
      </c>
      <c r="H45" s="2">
        <f t="shared" si="6"/>
        <v>4.061453198466447E-2</v>
      </c>
      <c r="I45" s="2">
        <f t="shared" si="7"/>
        <v>4.0614531984664477E-3</v>
      </c>
      <c r="J45" s="2">
        <f t="shared" si="8"/>
        <v>0</v>
      </c>
      <c r="K45" s="2">
        <f t="shared" si="11"/>
        <v>8.1229063969328955E-3</v>
      </c>
      <c r="L45" s="2">
        <f t="shared" si="12"/>
        <v>0</v>
      </c>
      <c r="M45" s="2">
        <f t="shared" si="13"/>
        <v>2.6795006671167694E-3</v>
      </c>
      <c r="N45" s="3">
        <f t="shared" si="14"/>
        <v>0.19797716021792303</v>
      </c>
      <c r="O45" s="3">
        <f>SUM(D45:M45,N45)</f>
        <v>0.43768481264257275</v>
      </c>
      <c r="P45" s="3">
        <f t="shared" si="9"/>
        <v>6.6000000000000005</v>
      </c>
      <c r="Q45" s="3">
        <f t="shared" si="15"/>
        <v>93.780840939959248</v>
      </c>
      <c r="R45">
        <f t="shared" si="16"/>
        <v>1.32</v>
      </c>
      <c r="S45" s="1">
        <f>D45+E45+F45+G45+M45</f>
        <v>0.18690876084458594</v>
      </c>
      <c r="T45" s="2">
        <f>SUM(H45:L45)</f>
        <v>5.279889158006381E-2</v>
      </c>
      <c r="U45" s="3">
        <f>N45/O45*100</f>
        <v>45.232814687494638</v>
      </c>
      <c r="V45" s="5">
        <f>S45/O45*100</f>
        <v>42.703963090723356</v>
      </c>
      <c r="W45" s="5">
        <f>T45/O45*100</f>
        <v>12.063222221782013</v>
      </c>
    </row>
    <row r="46" spans="1:23" x14ac:dyDescent="0.25">
      <c r="A46">
        <f t="shared" si="10"/>
        <v>46</v>
      </c>
      <c r="B46">
        <f t="shared" si="0"/>
        <v>1.38</v>
      </c>
      <c r="C46" s="3">
        <f t="shared" si="1"/>
        <v>1.4123818370765404</v>
      </c>
      <c r="D46" s="2">
        <f t="shared" si="2"/>
        <v>6.4831729745370367E-2</v>
      </c>
      <c r="E46" s="2">
        <f t="shared" si="3"/>
        <v>5.1200442978395037E-2</v>
      </c>
      <c r="F46" s="2">
        <f t="shared" si="4"/>
        <v>0</v>
      </c>
      <c r="G46" s="2">
        <f t="shared" si="5"/>
        <v>8.1281287453703693E-2</v>
      </c>
      <c r="H46" s="2">
        <f t="shared" si="6"/>
        <v>4.2371455112296216E-2</v>
      </c>
      <c r="I46" s="2">
        <f t="shared" si="7"/>
        <v>4.2371455112296215E-3</v>
      </c>
      <c r="J46" s="2">
        <f t="shared" si="8"/>
        <v>0</v>
      </c>
      <c r="K46" s="2">
        <f t="shared" si="11"/>
        <v>8.4742910224592429E-3</v>
      </c>
      <c r="L46" s="2">
        <f t="shared" si="12"/>
        <v>0</v>
      </c>
      <c r="M46" s="2">
        <f t="shared" si="13"/>
        <v>2.8763756671167698E-3</v>
      </c>
      <c r="N46" s="3">
        <f t="shared" si="14"/>
        <v>0.19797716021792303</v>
      </c>
      <c r="O46" s="3">
        <f>SUM(D46:M46,N46)</f>
        <v>0.45324988770849395</v>
      </c>
      <c r="P46" s="3">
        <f t="shared" si="9"/>
        <v>6.8999999999999995</v>
      </c>
      <c r="Q46" s="3">
        <f t="shared" si="15"/>
        <v>93.836060318497601</v>
      </c>
      <c r="R46">
        <f t="shared" si="16"/>
        <v>1.38</v>
      </c>
      <c r="S46" s="1">
        <f>D46+E46+F46+G46+M46</f>
        <v>0.20018983584458586</v>
      </c>
      <c r="T46" s="2">
        <f>SUM(H46:L46)</f>
        <v>5.508289164598508E-2</v>
      </c>
      <c r="U46" s="3">
        <f>N46/O46*100</f>
        <v>43.679472535302935</v>
      </c>
      <c r="V46" s="5">
        <f>S46/O46*100</f>
        <v>44.167652606973668</v>
      </c>
      <c r="W46" s="5">
        <f>T46/O46*100</f>
        <v>12.152874857723395</v>
      </c>
    </row>
    <row r="47" spans="1:23" x14ac:dyDescent="0.25">
      <c r="A47">
        <f t="shared" si="10"/>
        <v>48</v>
      </c>
      <c r="B47">
        <f t="shared" si="0"/>
        <v>1.44</v>
      </c>
      <c r="C47" s="3">
        <f t="shared" si="1"/>
        <v>1.471061675696741</v>
      </c>
      <c r="D47" s="2">
        <f t="shared" si="2"/>
        <v>7.0330729745370371E-2</v>
      </c>
      <c r="E47" s="2">
        <f t="shared" si="3"/>
        <v>5.5543242978395052E-2</v>
      </c>
      <c r="F47" s="2">
        <f t="shared" si="4"/>
        <v>0</v>
      </c>
      <c r="G47" s="2">
        <f t="shared" si="5"/>
        <v>8.5105207453703702E-2</v>
      </c>
      <c r="H47" s="2">
        <f t="shared" si="6"/>
        <v>4.4131850270902231E-2</v>
      </c>
      <c r="I47" s="2">
        <f t="shared" si="7"/>
        <v>4.4131850270902233E-3</v>
      </c>
      <c r="J47" s="2">
        <f t="shared" si="8"/>
        <v>0</v>
      </c>
      <c r="K47" s="2">
        <f t="shared" si="11"/>
        <v>8.8263700541804466E-3</v>
      </c>
      <c r="L47" s="2">
        <f t="shared" si="12"/>
        <v>0</v>
      </c>
      <c r="M47" s="2">
        <f t="shared" si="13"/>
        <v>3.0820006671167695E-3</v>
      </c>
      <c r="N47" s="3">
        <f t="shared" si="14"/>
        <v>0.19797716021792303</v>
      </c>
      <c r="O47" s="3">
        <f>SUM(D47:M47,N47)</f>
        <v>0.46940974641468181</v>
      </c>
      <c r="P47" s="3">
        <f t="shared" si="9"/>
        <v>7.1999999999999993</v>
      </c>
      <c r="Q47" s="3">
        <f t="shared" si="15"/>
        <v>93.879454065756192</v>
      </c>
      <c r="R47">
        <f t="shared" si="16"/>
        <v>1.44</v>
      </c>
      <c r="S47" s="1">
        <f>D47+E47+F47+G47+M47</f>
        <v>0.21406118084458592</v>
      </c>
      <c r="T47" s="2">
        <f>SUM(H47:L47)</f>
        <v>5.7371405352172902E-2</v>
      </c>
      <c r="U47" s="3">
        <f>N47/O47*100</f>
        <v>42.175766849763654</v>
      </c>
      <c r="V47" s="5">
        <f>S47/O47*100</f>
        <v>45.602202016376943</v>
      </c>
      <c r="W47" s="5">
        <f>T47/O47*100</f>
        <v>12.222031133859407</v>
      </c>
    </row>
    <row r="48" spans="1:23" x14ac:dyDescent="0.25">
      <c r="A48">
        <f t="shared" si="10"/>
        <v>50</v>
      </c>
      <c r="B48">
        <f t="shared" si="0"/>
        <v>1.5</v>
      </c>
      <c r="C48" s="3">
        <f t="shared" si="1"/>
        <v>1.5298439311588956</v>
      </c>
      <c r="D48" s="2">
        <f t="shared" si="2"/>
        <v>7.6063729745370387E-2</v>
      </c>
      <c r="E48" s="2">
        <f t="shared" si="3"/>
        <v>6.0070842978395052E-2</v>
      </c>
      <c r="F48" s="2">
        <f t="shared" si="4"/>
        <v>0</v>
      </c>
      <c r="G48" s="2">
        <f t="shared" si="5"/>
        <v>8.9091847453703715E-2</v>
      </c>
      <c r="H48" s="2">
        <f t="shared" si="6"/>
        <v>4.5895317934766873E-2</v>
      </c>
      <c r="I48" s="2">
        <f t="shared" si="7"/>
        <v>4.5895317934766871E-3</v>
      </c>
      <c r="J48" s="2">
        <f t="shared" si="8"/>
        <v>0</v>
      </c>
      <c r="K48" s="2">
        <f t="shared" si="11"/>
        <v>9.1790635869533743E-3</v>
      </c>
      <c r="L48" s="2">
        <f t="shared" si="12"/>
        <v>0</v>
      </c>
      <c r="M48" s="2">
        <f t="shared" si="13"/>
        <v>3.2963756671167696E-3</v>
      </c>
      <c r="N48" s="3">
        <f t="shared" si="14"/>
        <v>0.19797716021792303</v>
      </c>
      <c r="O48" s="3">
        <f>SUM(D48:M48,N48)</f>
        <v>0.48616386937770595</v>
      </c>
      <c r="P48" s="3">
        <f t="shared" si="9"/>
        <v>7.5</v>
      </c>
      <c r="Q48" s="3">
        <f t="shared" si="15"/>
        <v>93.912423069079992</v>
      </c>
      <c r="R48">
        <f t="shared" si="16"/>
        <v>1.5</v>
      </c>
      <c r="S48" s="1">
        <f>D48+E48+F48+G48+M48</f>
        <v>0.22852279584458593</v>
      </c>
      <c r="T48" s="2">
        <f>SUM(H48:L48)</f>
        <v>5.9663913315196937E-2</v>
      </c>
      <c r="U48" s="3">
        <f>N48/O48*100</f>
        <v>40.722310457034901</v>
      </c>
      <c r="V48" s="5">
        <f>S48/O48*100</f>
        <v>47.005302170458933</v>
      </c>
      <c r="W48" s="5">
        <f>T48/O48*100</f>
        <v>12.272387372506161</v>
      </c>
    </row>
    <row r="49" spans="1:23" x14ac:dyDescent="0.25">
      <c r="A49">
        <f t="shared" si="10"/>
        <v>52</v>
      </c>
      <c r="B49">
        <f t="shared" si="0"/>
        <v>1.56</v>
      </c>
      <c r="C49" s="3">
        <f t="shared" si="1"/>
        <v>1.5887172352888048</v>
      </c>
      <c r="D49" s="2">
        <f t="shared" si="2"/>
        <v>8.2030729745370387E-2</v>
      </c>
      <c r="E49" s="2">
        <f t="shared" si="3"/>
        <v>6.478324297839505E-2</v>
      </c>
      <c r="F49" s="2">
        <f t="shared" si="4"/>
        <v>0</v>
      </c>
      <c r="G49" s="2">
        <f t="shared" si="5"/>
        <v>9.3241207453703706E-2</v>
      </c>
      <c r="H49" s="2">
        <f t="shared" si="6"/>
        <v>4.7661517058664143E-2</v>
      </c>
      <c r="I49" s="2">
        <f t="shared" si="7"/>
        <v>4.7661517058664145E-3</v>
      </c>
      <c r="J49" s="2">
        <f t="shared" si="8"/>
        <v>0</v>
      </c>
      <c r="K49" s="2">
        <f t="shared" si="11"/>
        <v>9.532303411732829E-3</v>
      </c>
      <c r="L49" s="2">
        <f t="shared" si="12"/>
        <v>0</v>
      </c>
      <c r="M49" s="2">
        <f t="shared" si="13"/>
        <v>3.519500667116769E-3</v>
      </c>
      <c r="N49" s="3">
        <f t="shared" si="14"/>
        <v>0.19797716021792303</v>
      </c>
      <c r="O49" s="3">
        <f>SUM(D49:M49,N49)</f>
        <v>0.50351181323877237</v>
      </c>
      <c r="P49" s="3">
        <f t="shared" si="9"/>
        <v>7.8000000000000007</v>
      </c>
      <c r="Q49" s="3">
        <f t="shared" si="15"/>
        <v>93.936158283824028</v>
      </c>
      <c r="R49">
        <f t="shared" si="16"/>
        <v>1.56</v>
      </c>
      <c r="S49" s="1">
        <f>D49+E49+F49+G49+M49</f>
        <v>0.24357468084458592</v>
      </c>
      <c r="T49" s="2">
        <f>SUM(H49:L49)</f>
        <v>6.1959972176263388E-2</v>
      </c>
      <c r="U49" s="3">
        <f>N49/O49*100</f>
        <v>39.319268190444518</v>
      </c>
      <c r="V49" s="5">
        <f>S49/O49*100</f>
        <v>48.375167064666144</v>
      </c>
      <c r="W49" s="5">
        <f>T49/O49*100</f>
        <v>12.305564744889331</v>
      </c>
    </row>
    <row r="50" spans="1:23" x14ac:dyDescent="0.25">
      <c r="A50">
        <f t="shared" si="10"/>
        <v>54</v>
      </c>
      <c r="B50">
        <f t="shared" si="0"/>
        <v>1.62</v>
      </c>
      <c r="C50" s="3">
        <f t="shared" si="1"/>
        <v>1.6476718282788305</v>
      </c>
      <c r="D50" s="2">
        <f t="shared" si="2"/>
        <v>8.8231729745370385E-2</v>
      </c>
      <c r="E50" s="2">
        <f t="shared" si="3"/>
        <v>6.9680442978395055E-2</v>
      </c>
      <c r="F50" s="2">
        <f t="shared" si="4"/>
        <v>0</v>
      </c>
      <c r="G50" s="2">
        <f t="shared" si="5"/>
        <v>9.7553287453703716E-2</v>
      </c>
      <c r="H50" s="2">
        <f t="shared" si="6"/>
        <v>4.9430154848364924E-2</v>
      </c>
      <c r="I50" s="2">
        <f t="shared" si="7"/>
        <v>4.9430154848364924E-3</v>
      </c>
      <c r="J50" s="2">
        <f t="shared" si="8"/>
        <v>0</v>
      </c>
      <c r="K50" s="2">
        <f t="shared" si="11"/>
        <v>9.8860309696729848E-3</v>
      </c>
      <c r="L50" s="2">
        <f t="shared" si="12"/>
        <v>0</v>
      </c>
      <c r="M50" s="2">
        <f t="shared" si="13"/>
        <v>3.7513756671167697E-3</v>
      </c>
      <c r="N50" s="3">
        <f t="shared" si="14"/>
        <v>0.19797716021792303</v>
      </c>
      <c r="O50" s="3">
        <f>SUM(D50:M50,N50)</f>
        <v>0.52145319736538343</v>
      </c>
      <c r="P50" s="3">
        <f t="shared" si="9"/>
        <v>8.1000000000000014</v>
      </c>
      <c r="Q50" s="3">
        <f t="shared" si="15"/>
        <v>93.951678615796069</v>
      </c>
      <c r="R50">
        <f t="shared" si="16"/>
        <v>1.62</v>
      </c>
      <c r="S50" s="1">
        <f>D50+E50+F50+G50+M50</f>
        <v>0.25921683584458594</v>
      </c>
      <c r="T50" s="2">
        <f>SUM(H50:L50)</f>
        <v>6.4259201302874408E-2</v>
      </c>
      <c r="U50" s="3">
        <f>N50/O50*100</f>
        <v>37.966429435698714</v>
      </c>
      <c r="V50" s="5">
        <f>S50/O50*100</f>
        <v>49.710470115873527</v>
      </c>
      <c r="W50" s="5">
        <f>T50/O50*100</f>
        <v>12.323100448427752</v>
      </c>
    </row>
    <row r="51" spans="1:23" x14ac:dyDescent="0.25">
      <c r="A51">
        <f t="shared" si="10"/>
        <v>56</v>
      </c>
      <c r="B51">
        <f t="shared" si="0"/>
        <v>1.68</v>
      </c>
      <c r="C51" s="3">
        <f t="shared" si="1"/>
        <v>1.7066992862551105</v>
      </c>
      <c r="D51" s="2">
        <f t="shared" si="2"/>
        <v>9.4666729745370368E-2</v>
      </c>
      <c r="E51" s="2">
        <f t="shared" si="3"/>
        <v>7.4762442978395044E-2</v>
      </c>
      <c r="F51" s="2">
        <f t="shared" si="4"/>
        <v>0</v>
      </c>
      <c r="G51" s="2">
        <f t="shared" si="5"/>
        <v>0.1020280874537037</v>
      </c>
      <c r="H51" s="2">
        <f t="shared" si="6"/>
        <v>5.1200978587653316E-2</v>
      </c>
      <c r="I51" s="2">
        <f t="shared" si="7"/>
        <v>5.1200978587653311E-3</v>
      </c>
      <c r="J51" s="2">
        <f t="shared" si="8"/>
        <v>0</v>
      </c>
      <c r="K51" s="2">
        <f t="shared" si="11"/>
        <v>1.0240195717530662E-2</v>
      </c>
      <c r="L51" s="2">
        <f t="shared" si="12"/>
        <v>0</v>
      </c>
      <c r="M51" s="2">
        <f t="shared" si="13"/>
        <v>3.9920006671167706E-3</v>
      </c>
      <c r="N51" s="3">
        <f t="shared" si="14"/>
        <v>0.19797716021792303</v>
      </c>
      <c r="O51" s="3">
        <f>SUM(D51:M51,N51)</f>
        <v>0.53998769322645812</v>
      </c>
      <c r="P51" s="3">
        <f t="shared" si="9"/>
        <v>8.4</v>
      </c>
      <c r="Q51" s="3">
        <f t="shared" si="15"/>
        <v>93.95986088844856</v>
      </c>
      <c r="R51">
        <f t="shared" si="16"/>
        <v>1.68</v>
      </c>
      <c r="S51" s="1">
        <f>D51+E51+F51+G51+M51</f>
        <v>0.27544926084458582</v>
      </c>
      <c r="T51" s="2">
        <f>SUM(H51:L51)</f>
        <v>6.6561272163949317E-2</v>
      </c>
      <c r="U51" s="3">
        <f>N51/O51*100</f>
        <v>36.663272645159353</v>
      </c>
      <c r="V51" s="5">
        <f>S51/O51*100</f>
        <v>51.010284919413685</v>
      </c>
      <c r="W51" s="5">
        <f>T51/O51*100</f>
        <v>12.326442435426966</v>
      </c>
    </row>
    <row r="52" spans="1:23" x14ac:dyDescent="0.25">
      <c r="A52">
        <f t="shared" si="10"/>
        <v>58</v>
      </c>
      <c r="B52">
        <f t="shared" si="0"/>
        <v>1.74</v>
      </c>
      <c r="C52" s="3">
        <f t="shared" si="1"/>
        <v>1.7657923019720365</v>
      </c>
      <c r="D52" s="2">
        <f t="shared" si="2"/>
        <v>0.10133572974537039</v>
      </c>
      <c r="E52" s="2">
        <f t="shared" si="3"/>
        <v>8.002924297839506E-2</v>
      </c>
      <c r="F52" s="2">
        <f t="shared" si="4"/>
        <v>0</v>
      </c>
      <c r="G52" s="2">
        <f t="shared" si="5"/>
        <v>0.10666560745370371</v>
      </c>
      <c r="H52" s="2">
        <f t="shared" si="6"/>
        <v>5.2973769059161104E-2</v>
      </c>
      <c r="I52" s="2">
        <f t="shared" si="7"/>
        <v>5.297376905916109E-3</v>
      </c>
      <c r="J52" s="2">
        <f t="shared" si="8"/>
        <v>0</v>
      </c>
      <c r="K52" s="2">
        <f t="shared" si="11"/>
        <v>1.0594753811832218E-2</v>
      </c>
      <c r="L52" s="2">
        <f t="shared" si="12"/>
        <v>0</v>
      </c>
      <c r="M52" s="2">
        <f t="shared" si="13"/>
        <v>4.2413756671167693E-3</v>
      </c>
      <c r="N52" s="3">
        <f t="shared" si="14"/>
        <v>0.19797716021792303</v>
      </c>
      <c r="O52" s="3">
        <f>SUM(D52:M52,N52)</f>
        <v>0.55911501583941836</v>
      </c>
      <c r="P52" s="3">
        <f t="shared" si="9"/>
        <v>8.6999999999999993</v>
      </c>
      <c r="Q52" s="3">
        <f t="shared" si="15"/>
        <v>93.961463758869499</v>
      </c>
      <c r="R52">
        <f t="shared" si="16"/>
        <v>1.74</v>
      </c>
      <c r="S52" s="1">
        <f>D52+E52+F52+G52+M52</f>
        <v>0.29227195584458593</v>
      </c>
      <c r="T52" s="2">
        <f>SUM(H52:L52)</f>
        <v>6.8865899776909434E-2</v>
      </c>
      <c r="U52" s="3">
        <f>N52/O52*100</f>
        <v>35.409022224290148</v>
      </c>
      <c r="V52" s="5">
        <f>S52/O52*100</f>
        <v>52.274030846012622</v>
      </c>
      <c r="W52" s="5">
        <f>T52/O52*100</f>
        <v>12.316946929697233</v>
      </c>
    </row>
    <row r="53" spans="1:23" x14ac:dyDescent="0.25">
      <c r="A53">
        <f t="shared" si="10"/>
        <v>60</v>
      </c>
      <c r="B53">
        <f t="shared" si="0"/>
        <v>1.8</v>
      </c>
      <c r="C53" s="3">
        <f t="shared" si="1"/>
        <v>1.8249445070203378</v>
      </c>
      <c r="D53" s="2">
        <f t="shared" si="2"/>
        <v>0.1082387297453704</v>
      </c>
      <c r="E53" s="2">
        <f t="shared" si="3"/>
        <v>8.5480842978395047E-2</v>
      </c>
      <c r="F53" s="2">
        <f t="shared" si="4"/>
        <v>0</v>
      </c>
      <c r="G53" s="2">
        <f t="shared" si="5"/>
        <v>0.11146584745370372</v>
      </c>
      <c r="H53" s="2">
        <f t="shared" si="6"/>
        <v>5.4748335210610143E-2</v>
      </c>
      <c r="I53" s="2">
        <f t="shared" si="7"/>
        <v>5.4748335210610139E-3</v>
      </c>
      <c r="J53" s="2">
        <f t="shared" si="8"/>
        <v>0</v>
      </c>
      <c r="K53" s="2">
        <f t="shared" si="11"/>
        <v>1.0949667042122028E-2</v>
      </c>
      <c r="L53" s="2">
        <f t="shared" si="12"/>
        <v>0</v>
      </c>
      <c r="M53" s="2">
        <f t="shared" si="13"/>
        <v>4.4995006671167698E-3</v>
      </c>
      <c r="N53" s="3">
        <f t="shared" si="14"/>
        <v>0.19797716021792303</v>
      </c>
      <c r="O53" s="3">
        <f>SUM(D53:M53,N53)</f>
        <v>0.57883491683630217</v>
      </c>
      <c r="P53" s="3">
        <f t="shared" si="9"/>
        <v>9</v>
      </c>
      <c r="Q53" s="3">
        <f t="shared" si="15"/>
        <v>93.957146961381397</v>
      </c>
      <c r="R53">
        <f t="shared" si="16"/>
        <v>1.8</v>
      </c>
      <c r="S53" s="1">
        <f>D53+E53+F53+G53+M53</f>
        <v>0.30968492084458599</v>
      </c>
      <c r="T53" s="2">
        <f>SUM(H53:L53)</f>
        <v>7.1172835773793186E-2</v>
      </c>
      <c r="U53" s="3">
        <f>N53/O53*100</f>
        <v>34.202698292631176</v>
      </c>
      <c r="V53" s="5">
        <f>S53/O53*100</f>
        <v>53.501423607478515</v>
      </c>
      <c r="W53" s="5">
        <f>T53/O53*100</f>
        <v>12.295878099890313</v>
      </c>
    </row>
    <row r="54" spans="1:23" x14ac:dyDescent="0.25">
      <c r="A54">
        <f t="shared" si="10"/>
        <v>62</v>
      </c>
      <c r="B54">
        <f t="shared" si="0"/>
        <v>1.86</v>
      </c>
      <c r="C54" s="3">
        <f t="shared" si="1"/>
        <v>1.8841503267265338</v>
      </c>
      <c r="D54" s="2">
        <f t="shared" si="2"/>
        <v>0.11537572974537039</v>
      </c>
      <c r="E54" s="2">
        <f t="shared" si="3"/>
        <v>9.111724297839506E-2</v>
      </c>
      <c r="F54" s="2">
        <f t="shared" si="4"/>
        <v>0</v>
      </c>
      <c r="G54" s="2">
        <f t="shared" si="5"/>
        <v>0.11642880745370372</v>
      </c>
      <c r="H54" s="2">
        <f t="shared" si="6"/>
        <v>5.6524509801796019E-2</v>
      </c>
      <c r="I54" s="2">
        <f t="shared" si="7"/>
        <v>5.6524509801796005E-3</v>
      </c>
      <c r="J54" s="2">
        <f t="shared" si="8"/>
        <v>0</v>
      </c>
      <c r="K54" s="2">
        <f t="shared" si="11"/>
        <v>1.1304901960359201E-2</v>
      </c>
      <c r="L54" s="2">
        <f t="shared" si="12"/>
        <v>0</v>
      </c>
      <c r="M54" s="2">
        <f t="shared" si="13"/>
        <v>4.7663756671167705E-3</v>
      </c>
      <c r="N54" s="3">
        <f t="shared" si="14"/>
        <v>0.19797716021792303</v>
      </c>
      <c r="O54" s="3">
        <f>SUM(D54:M54,N54)</f>
        <v>0.59914717880484381</v>
      </c>
      <c r="P54" s="3">
        <f t="shared" si="9"/>
        <v>9.3000000000000007</v>
      </c>
      <c r="Q54" s="3">
        <f t="shared" si="15"/>
        <v>93.947486909905905</v>
      </c>
      <c r="R54">
        <f t="shared" si="16"/>
        <v>1.86</v>
      </c>
      <c r="S54" s="1">
        <f>D54+E54+F54+G54+M54</f>
        <v>0.32768815584458594</v>
      </c>
      <c r="T54" s="2">
        <f>SUM(H54:L54)</f>
        <v>7.3481862742334814E-2</v>
      </c>
      <c r="U54" s="3">
        <f>N54/O54*100</f>
        <v>33.043159881490283</v>
      </c>
      <c r="V54" s="5">
        <f>S54/O54*100</f>
        <v>54.692430747691404</v>
      </c>
      <c r="W54" s="5">
        <f>T54/O54*100</f>
        <v>12.264409370818312</v>
      </c>
    </row>
    <row r="55" spans="1:23" x14ac:dyDescent="0.25">
      <c r="A55">
        <f t="shared" si="10"/>
        <v>64</v>
      </c>
      <c r="B55">
        <f t="shared" ref="B55:B73" si="17">$B$17/$E$2*A55/100</f>
        <v>1.92</v>
      </c>
      <c r="C55" s="3">
        <f t="shared" si="1"/>
        <v>1.9434048609859202</v>
      </c>
      <c r="D55" s="2">
        <f t="shared" ref="D55:D73" si="18">(C55/$E$2)^2*$B$12/1000*$B$7/100*$E$2</f>
        <v>0.12274672974537039</v>
      </c>
      <c r="E55" s="2">
        <f t="shared" ref="E55:E73" si="19">(C55/$E$2)^2*$B$13/1000*(1-$B$7/100)*$E$2</f>
        <v>9.6938442978395045E-2</v>
      </c>
      <c r="F55" s="2">
        <f t="shared" ref="F55:F73" si="20">(C55/$E$2)^2*($B$16/1000)*$E$2</f>
        <v>0</v>
      </c>
      <c r="G55" s="2">
        <f t="shared" ref="G55:G73" si="21">(C55/$E$2)^2*($B$14/1000)*$E$2 + $B$15/1000*$E$2</f>
        <v>0.12155448745370372</v>
      </c>
      <c r="H55" s="2">
        <f t="shared" ref="H55:H73" si="22">0.5*$B$5*C55/$E$2*($G$5+$G$6)*$E$2*0.000000001*$B$8*1000</f>
        <v>5.8302145829577615E-2</v>
      </c>
      <c r="I55" s="2">
        <f t="shared" ref="I55:I73" si="23">0.5*$G$11*C55/$E$2*($G$7+$G$8)*$E$2*0.000000001*$B$8*1000</f>
        <v>5.8302145829577604E-3</v>
      </c>
      <c r="J55" s="2">
        <f t="shared" ref="J55:J73" si="24">0.5*($G$9+$G$10)*$E$2*0.000000000001*($B$5)^2*$B$8*1000</f>
        <v>0</v>
      </c>
      <c r="K55" s="2">
        <f t="shared" ref="K55:K73" si="25">$G$11*C55/$E$2*($G$12+$G$13)*$E$2*0.000000001*$B$8*1000</f>
        <v>1.1660429165915521E-2</v>
      </c>
      <c r="L55" s="2">
        <f t="shared" ref="L55:L73" si="26">($G$14+$G$15)*$E$2*0.000000001*$G$16*$B$8*1000</f>
        <v>0</v>
      </c>
      <c r="M55" s="2">
        <f t="shared" ref="M55:M73" si="27">($B$18/(2*3^0.5))^2*$G$17/1000+(C55*(($B$5-$B$6)*$B$6)^0.5/$B$5)^2*$G$18/1000</f>
        <v>5.0420006671167694E-3</v>
      </c>
      <c r="N55" s="3">
        <f t="shared" si="14"/>
        <v>0.19797716021792303</v>
      </c>
      <c r="O55" s="3">
        <f>SUM(D55:M55,N55)</f>
        <v>0.62005161064095982</v>
      </c>
      <c r="P55" s="3">
        <f t="shared" ref="P55:P73" si="28">$B$6*B55</f>
        <v>9.6</v>
      </c>
      <c r="Q55" s="3">
        <f t="shared" si="15"/>
        <v>93.932989438180797</v>
      </c>
      <c r="R55">
        <f t="shared" si="16"/>
        <v>1.92</v>
      </c>
      <c r="S55" s="1">
        <f>D55+E55+F55+G55+M55</f>
        <v>0.34628166084458589</v>
      </c>
      <c r="T55" s="2">
        <f>SUM(H55:L55)</f>
        <v>7.5792789578450898E-2</v>
      </c>
      <c r="U55" s="3">
        <f>N55/O55*100</f>
        <v>31.929142158548711</v>
      </c>
      <c r="V55" s="5">
        <f>S55/O55*100</f>
        <v>55.847231891975504</v>
      </c>
      <c r="W55" s="5">
        <f>T55/O55*100</f>
        <v>12.22362594947578</v>
      </c>
    </row>
    <row r="56" spans="1:23" x14ac:dyDescent="0.25">
      <c r="A56">
        <f t="shared" ref="A56:A73" si="29">A55+2*$E$2</f>
        <v>66</v>
      </c>
      <c r="B56">
        <f t="shared" si="17"/>
        <v>1.98</v>
      </c>
      <c r="C56" s="3">
        <f t="shared" si="1"/>
        <v>2.0027037858114975</v>
      </c>
      <c r="D56" s="2">
        <f t="shared" si="18"/>
        <v>0.13035172974537043</v>
      </c>
      <c r="E56" s="2">
        <f t="shared" si="19"/>
        <v>0.10294444297839508</v>
      </c>
      <c r="F56" s="2">
        <f t="shared" si="20"/>
        <v>0</v>
      </c>
      <c r="G56" s="2">
        <f t="shared" si="21"/>
        <v>0.12684288745370376</v>
      </c>
      <c r="H56" s="2">
        <f t="shared" si="22"/>
        <v>6.0081113574344924E-2</v>
      </c>
      <c r="I56" s="2">
        <f t="shared" si="23"/>
        <v>6.0081113574344917E-3</v>
      </c>
      <c r="J56" s="2">
        <f t="shared" si="24"/>
        <v>0</v>
      </c>
      <c r="K56" s="2">
        <f t="shared" si="25"/>
        <v>1.2016222714868983E-2</v>
      </c>
      <c r="L56" s="2">
        <f t="shared" si="26"/>
        <v>0</v>
      </c>
      <c r="M56" s="2">
        <f t="shared" si="27"/>
        <v>5.3263756671167702E-3</v>
      </c>
      <c r="N56" s="3">
        <f t="shared" si="14"/>
        <v>0.19797716021792303</v>
      </c>
      <c r="O56" s="3">
        <f>SUM(D56:M56,N56)</f>
        <v>0.64154804370915741</v>
      </c>
      <c r="P56" s="3">
        <f t="shared" si="28"/>
        <v>9.9</v>
      </c>
      <c r="Q56" s="3">
        <f t="shared" si="15"/>
        <v>93.914100272094174</v>
      </c>
      <c r="R56">
        <f t="shared" si="16"/>
        <v>1.98</v>
      </c>
      <c r="S56" s="1">
        <f>D56+E56+F56+G56+M56</f>
        <v>0.36546543584458602</v>
      </c>
      <c r="T56" s="2">
        <f>SUM(H56:L56)</f>
        <v>7.8105447646648396E-2</v>
      </c>
      <c r="U56" s="3">
        <f>N56/O56*100</f>
        <v>30.859288272987857</v>
      </c>
      <c r="V56" s="5">
        <f>S56/O56*100</f>
        <v>56.966183503829356</v>
      </c>
      <c r="W56" s="5">
        <f>T56/O56*100</f>
        <v>12.174528223182785</v>
      </c>
    </row>
    <row r="57" spans="1:23" x14ac:dyDescent="0.25">
      <c r="A57">
        <f t="shared" si="29"/>
        <v>68</v>
      </c>
      <c r="B57">
        <f t="shared" si="17"/>
        <v>2.04</v>
      </c>
      <c r="C57" s="3">
        <f t="shared" si="1"/>
        <v>2.0620432715400772</v>
      </c>
      <c r="D57" s="2">
        <f t="shared" si="18"/>
        <v>0.13819072974537039</v>
      </c>
      <c r="E57" s="2">
        <f t="shared" si="19"/>
        <v>0.10913524297839507</v>
      </c>
      <c r="F57" s="2">
        <f t="shared" si="20"/>
        <v>0</v>
      </c>
      <c r="G57" s="2">
        <f t="shared" si="21"/>
        <v>0.13229400745370373</v>
      </c>
      <c r="H57" s="2">
        <f t="shared" si="22"/>
        <v>6.1861298146202316E-2</v>
      </c>
      <c r="I57" s="2">
        <f t="shared" si="23"/>
        <v>6.1861298146202318E-3</v>
      </c>
      <c r="J57" s="2">
        <f t="shared" si="24"/>
        <v>0</v>
      </c>
      <c r="K57" s="2">
        <f t="shared" si="25"/>
        <v>1.2372259629240464E-2</v>
      </c>
      <c r="L57" s="2">
        <f t="shared" si="26"/>
        <v>0</v>
      </c>
      <c r="M57" s="2">
        <f t="shared" si="27"/>
        <v>5.6195006671167702E-3</v>
      </c>
      <c r="N57" s="3">
        <f t="shared" si="14"/>
        <v>0.19797716021792303</v>
      </c>
      <c r="O57" s="3">
        <f>SUM(D57:M57,N57)</f>
        <v>0.66363632865257205</v>
      </c>
      <c r="P57" s="3">
        <f t="shared" si="28"/>
        <v>10.199999999999999</v>
      </c>
      <c r="Q57" s="3">
        <f t="shared" si="15"/>
        <v>93.891213691475954</v>
      </c>
      <c r="R57">
        <f t="shared" si="16"/>
        <v>2.04</v>
      </c>
      <c r="S57" s="1">
        <f>D57+E57+F57+G57+M57</f>
        <v>0.38523948084458592</v>
      </c>
      <c r="T57" s="2">
        <f>SUM(H57:L57)</f>
        <v>8.0419687590063016E-2</v>
      </c>
      <c r="U57" s="3">
        <f>N57/O57*100</f>
        <v>29.832176399970461</v>
      </c>
      <c r="V57" s="5">
        <f>S57/O57*100</f>
        <v>58.049787844912736</v>
      </c>
      <c r="W57" s="5">
        <f>T57/O57*100</f>
        <v>12.118035755116786</v>
      </c>
    </row>
    <row r="58" spans="1:23" x14ac:dyDescent="0.25">
      <c r="A58">
        <f t="shared" si="29"/>
        <v>70</v>
      </c>
      <c r="B58">
        <f t="shared" si="17"/>
        <v>2.1</v>
      </c>
      <c r="C58" s="3">
        <f t="shared" si="1"/>
        <v>2.1214199145156774</v>
      </c>
      <c r="D58" s="2">
        <f t="shared" si="18"/>
        <v>0.14626372974537039</v>
      </c>
      <c r="E58" s="2">
        <f t="shared" si="19"/>
        <v>0.11551084297839505</v>
      </c>
      <c r="F58" s="2">
        <f t="shared" si="20"/>
        <v>0</v>
      </c>
      <c r="G58" s="2">
        <f t="shared" si="21"/>
        <v>0.13790784745370371</v>
      </c>
      <c r="H58" s="2">
        <f t="shared" si="22"/>
        <v>6.3642597435470322E-2</v>
      </c>
      <c r="I58" s="2">
        <f t="shared" si="23"/>
        <v>6.3642597435470318E-3</v>
      </c>
      <c r="J58" s="2">
        <f t="shared" si="24"/>
        <v>0</v>
      </c>
      <c r="K58" s="2">
        <f t="shared" si="25"/>
        <v>1.2728519487094064E-2</v>
      </c>
      <c r="L58" s="2">
        <f t="shared" si="26"/>
        <v>0</v>
      </c>
      <c r="M58" s="2">
        <f t="shared" si="27"/>
        <v>5.9213756671167702E-3</v>
      </c>
      <c r="N58" s="3">
        <f t="shared" si="14"/>
        <v>0.19797716021792303</v>
      </c>
      <c r="O58" s="3">
        <f>SUM(D58:M58,N58)</f>
        <v>0.68631633272862036</v>
      </c>
      <c r="P58" s="3">
        <f t="shared" si="28"/>
        <v>10.5</v>
      </c>
      <c r="Q58" s="3">
        <f t="shared" si="15"/>
        <v>93.864679736254075</v>
      </c>
      <c r="R58">
        <f t="shared" si="16"/>
        <v>2.1</v>
      </c>
      <c r="S58" s="1">
        <f>D58+E58+F58+G58+M58</f>
        <v>0.40560379584458589</v>
      </c>
      <c r="T58" s="2">
        <f>SUM(H58:L58)</f>
        <v>8.2735376666111415E-2</v>
      </c>
      <c r="U58" s="3">
        <f>N58/O58*100</f>
        <v>28.846342535783148</v>
      </c>
      <c r="V58" s="5">
        <f>S58/O58*100</f>
        <v>59.098665805024289</v>
      </c>
      <c r="W58" s="5">
        <f>T58/O58*100</f>
        <v>12.054991659192556</v>
      </c>
    </row>
    <row r="59" spans="1:23" x14ac:dyDescent="0.25">
      <c r="A59">
        <f t="shared" si="29"/>
        <v>72</v>
      </c>
      <c r="B59">
        <f t="shared" si="17"/>
        <v>2.16</v>
      </c>
      <c r="C59" s="3">
        <f t="shared" si="1"/>
        <v>2.180830679741943</v>
      </c>
      <c r="D59" s="2">
        <f t="shared" si="18"/>
        <v>0.15457072974537045</v>
      </c>
      <c r="E59" s="2">
        <f t="shared" si="19"/>
        <v>0.12207124297839508</v>
      </c>
      <c r="F59" s="2">
        <f t="shared" si="20"/>
        <v>0</v>
      </c>
      <c r="G59" s="2">
        <f t="shared" si="21"/>
        <v>0.14368440745370376</v>
      </c>
      <c r="H59" s="2">
        <f t="shared" si="22"/>
        <v>6.5424920392258293E-2</v>
      </c>
      <c r="I59" s="2">
        <f t="shared" si="23"/>
        <v>6.5424920392258296E-3</v>
      </c>
      <c r="J59" s="2">
        <f t="shared" si="24"/>
        <v>0</v>
      </c>
      <c r="K59" s="2">
        <f t="shared" si="25"/>
        <v>1.3084984078451659E-2</v>
      </c>
      <c r="L59" s="2">
        <f t="shared" si="26"/>
        <v>0</v>
      </c>
      <c r="M59" s="2">
        <f t="shared" si="27"/>
        <v>6.232000667116773E-3</v>
      </c>
      <c r="N59" s="3">
        <f t="shared" si="14"/>
        <v>0.19797716021792303</v>
      </c>
      <c r="O59" s="3">
        <f>SUM(D59:M59,N59)</f>
        <v>0.70958793757244498</v>
      </c>
      <c r="P59" s="3">
        <f t="shared" si="28"/>
        <v>10.8</v>
      </c>
      <c r="Q59" s="3">
        <f t="shared" si="15"/>
        <v>93.83481023455208</v>
      </c>
      <c r="R59">
        <f t="shared" si="16"/>
        <v>2.16</v>
      </c>
      <c r="S59" s="1">
        <f>D59+E59+F59+G59+M59</f>
        <v>0.42655838084458608</v>
      </c>
      <c r="T59" s="2">
        <f>SUM(H59:L59)</f>
        <v>8.5052396509935776E-2</v>
      </c>
      <c r="U59" s="3">
        <f>N59/O59*100</f>
        <v>27.900299559095963</v>
      </c>
      <c r="V59" s="5">
        <f>S59/O59*100</f>
        <v>60.113533257607955</v>
      </c>
      <c r="W59" s="5">
        <f>T59/O59*100</f>
        <v>11.986167183296066</v>
      </c>
    </row>
    <row r="60" spans="1:23" x14ac:dyDescent="0.25">
      <c r="A60">
        <f t="shared" si="29"/>
        <v>74</v>
      </c>
      <c r="B60">
        <f t="shared" si="17"/>
        <v>2.2200000000000002</v>
      </c>
      <c r="C60" s="3">
        <f t="shared" si="1"/>
        <v>2.2402728525123239</v>
      </c>
      <c r="D60" s="2">
        <f t="shared" si="18"/>
        <v>0.16311172974537042</v>
      </c>
      <c r="E60" s="2">
        <f t="shared" si="19"/>
        <v>0.12881644297839503</v>
      </c>
      <c r="F60" s="2">
        <f t="shared" si="20"/>
        <v>0</v>
      </c>
      <c r="G60" s="2">
        <f t="shared" si="21"/>
        <v>0.14962368745370372</v>
      </c>
      <c r="H60" s="2">
        <f t="shared" si="22"/>
        <v>6.7208185575369728E-2</v>
      </c>
      <c r="I60" s="2">
        <f t="shared" si="23"/>
        <v>6.7208185575369731E-3</v>
      </c>
      <c r="J60" s="2">
        <f t="shared" si="24"/>
        <v>0</v>
      </c>
      <c r="K60" s="2">
        <f t="shared" si="25"/>
        <v>1.3441637115073946E-2</v>
      </c>
      <c r="L60" s="2">
        <f t="shared" si="26"/>
        <v>0</v>
      </c>
      <c r="M60" s="2">
        <f t="shared" si="27"/>
        <v>6.5513756671167715E-3</v>
      </c>
      <c r="N60" s="3">
        <f t="shared" si="14"/>
        <v>0.19797716021792303</v>
      </c>
      <c r="O60" s="3">
        <f>SUM(D60:M60,N60)</f>
        <v>0.73345103731048955</v>
      </c>
      <c r="P60" s="3">
        <f t="shared" si="28"/>
        <v>11.100000000000001</v>
      </c>
      <c r="Q60" s="3">
        <f t="shared" si="15"/>
        <v>93.801883871425659</v>
      </c>
      <c r="R60">
        <f t="shared" si="16"/>
        <v>2.2200000000000002</v>
      </c>
      <c r="S60" s="1">
        <f>D60+E60+F60+G60+M60</f>
        <v>0.44810323584458595</v>
      </c>
      <c r="T60" s="2">
        <f>SUM(H60:L60)</f>
        <v>8.7370641247980649E-2</v>
      </c>
      <c r="U60" s="3">
        <f>N60/O60*100</f>
        <v>26.992553033109147</v>
      </c>
      <c r="V60" s="5">
        <f>S60/O60*100</f>
        <v>61.0951805982506</v>
      </c>
      <c r="W60" s="5">
        <f>T60/O60*100</f>
        <v>11.912266368640271</v>
      </c>
    </row>
    <row r="61" spans="1:23" x14ac:dyDescent="0.25">
      <c r="A61">
        <f t="shared" si="29"/>
        <v>76</v>
      </c>
      <c r="B61">
        <f t="shared" si="17"/>
        <v>2.2799999999999998</v>
      </c>
      <c r="C61" s="3">
        <f t="shared" si="1"/>
        <v>2.2997439974274752</v>
      </c>
      <c r="D61" s="2">
        <f t="shared" si="18"/>
        <v>0.17188672974537034</v>
      </c>
      <c r="E61" s="2">
        <f t="shared" si="19"/>
        <v>0.13574644297839503</v>
      </c>
      <c r="F61" s="2">
        <f t="shared" si="20"/>
        <v>0</v>
      </c>
      <c r="G61" s="2">
        <f t="shared" si="21"/>
        <v>0.15572568745370369</v>
      </c>
      <c r="H61" s="2">
        <f t="shared" si="22"/>
        <v>6.8992319922824258E-2</v>
      </c>
      <c r="I61" s="2">
        <f t="shared" si="23"/>
        <v>6.899231992282426E-3</v>
      </c>
      <c r="J61" s="2">
        <f t="shared" si="24"/>
        <v>0</v>
      </c>
      <c r="K61" s="2">
        <f t="shared" si="25"/>
        <v>1.3798463984564852E-2</v>
      </c>
      <c r="L61" s="2">
        <f t="shared" si="26"/>
        <v>0</v>
      </c>
      <c r="M61" s="2">
        <f t="shared" si="27"/>
        <v>6.8795006671167683E-3</v>
      </c>
      <c r="N61" s="3">
        <f t="shared" si="14"/>
        <v>0.19797716021792303</v>
      </c>
      <c r="O61" s="3">
        <f>SUM(D61:M61,N61)</f>
        <v>0.75790553696218022</v>
      </c>
      <c r="P61" s="3">
        <f t="shared" si="28"/>
        <v>11.399999999999999</v>
      </c>
      <c r="Q61" s="3">
        <f t="shared" si="15"/>
        <v>93.766150471740275</v>
      </c>
      <c r="R61">
        <f t="shared" si="16"/>
        <v>2.2799999999999998</v>
      </c>
      <c r="S61" s="1">
        <f>D61+E61+F61+G61+M61</f>
        <v>0.47023836084458581</v>
      </c>
      <c r="T61" s="2">
        <f>SUM(H61:L61)</f>
        <v>8.9690015899671544E-2</v>
      </c>
      <c r="U61" s="3">
        <f>N61/O61*100</f>
        <v>26.121614180502046</v>
      </c>
      <c r="V61" s="5">
        <f>S61/O61*100</f>
        <v>62.044455134789558</v>
      </c>
      <c r="W61" s="5">
        <f>T61/O61*100</f>
        <v>11.833930684708417</v>
      </c>
    </row>
    <row r="62" spans="1:23" x14ac:dyDescent="0.25">
      <c r="A62">
        <f t="shared" si="29"/>
        <v>78</v>
      </c>
      <c r="B62">
        <f t="shared" si="17"/>
        <v>2.34</v>
      </c>
      <c r="C62" s="3">
        <f t="shared" si="1"/>
        <v>2.3592419235219824</v>
      </c>
      <c r="D62" s="2">
        <f t="shared" si="18"/>
        <v>0.18089572974537038</v>
      </c>
      <c r="E62" s="2">
        <f t="shared" si="19"/>
        <v>0.14286124297839503</v>
      </c>
      <c r="F62" s="2">
        <f t="shared" si="20"/>
        <v>0</v>
      </c>
      <c r="G62" s="2">
        <f t="shared" si="21"/>
        <v>0.16199040745370369</v>
      </c>
      <c r="H62" s="2">
        <f t="shared" si="22"/>
        <v>7.0777257705659471E-2</v>
      </c>
      <c r="I62" s="2">
        <f t="shared" si="23"/>
        <v>7.0777257705659478E-3</v>
      </c>
      <c r="J62" s="2">
        <f t="shared" si="24"/>
        <v>0</v>
      </c>
      <c r="K62" s="2">
        <f t="shared" si="25"/>
        <v>1.4155451541131896E-2</v>
      </c>
      <c r="L62" s="2">
        <f t="shared" si="26"/>
        <v>0</v>
      </c>
      <c r="M62" s="2">
        <f t="shared" si="27"/>
        <v>7.2163756671167686E-3</v>
      </c>
      <c r="N62" s="3">
        <f t="shared" si="14"/>
        <v>0.19797716021792303</v>
      </c>
      <c r="O62" s="3">
        <f>SUM(D62:M62,N62)</f>
        <v>0.78295135107986613</v>
      </c>
      <c r="P62" s="3">
        <f t="shared" si="28"/>
        <v>11.7</v>
      </c>
      <c r="Q62" s="3">
        <f t="shared" si="15"/>
        <v>93.727834635739924</v>
      </c>
      <c r="R62">
        <f t="shared" si="16"/>
        <v>2.34</v>
      </c>
      <c r="S62" s="1">
        <f>D62+E62+F62+G62+M62</f>
        <v>0.49296375584458585</v>
      </c>
      <c r="T62" s="2">
        <f>SUM(H62:L62)</f>
        <v>9.2010435017357312E-2</v>
      </c>
      <c r="U62" s="3">
        <f>N62/O62*100</f>
        <v>25.28601042004308</v>
      </c>
      <c r="V62" s="5">
        <f>S62/O62*100</f>
        <v>62.962246014989041</v>
      </c>
      <c r="W62" s="5">
        <f>T62/O62*100</f>
        <v>11.751743564967889</v>
      </c>
    </row>
    <row r="63" spans="1:23" x14ac:dyDescent="0.25">
      <c r="A63">
        <f t="shared" si="29"/>
        <v>80</v>
      </c>
      <c r="B63">
        <f t="shared" si="17"/>
        <v>2.4</v>
      </c>
      <c r="C63" s="3">
        <f t="shared" si="1"/>
        <v>2.4187646544680002</v>
      </c>
      <c r="D63" s="2">
        <f t="shared" si="18"/>
        <v>0.19013872974537041</v>
      </c>
      <c r="E63" s="2">
        <f t="shared" si="19"/>
        <v>0.15016084297839505</v>
      </c>
      <c r="F63" s="2">
        <f t="shared" si="20"/>
        <v>0</v>
      </c>
      <c r="G63" s="2">
        <f t="shared" si="21"/>
        <v>0.16841784745370375</v>
      </c>
      <c r="H63" s="2">
        <f t="shared" si="22"/>
        <v>7.2562939634040022E-2</v>
      </c>
      <c r="I63" s="2">
        <f t="shared" si="23"/>
        <v>7.2562939634040011E-3</v>
      </c>
      <c r="J63" s="2">
        <f t="shared" si="24"/>
        <v>0</v>
      </c>
      <c r="K63" s="2">
        <f t="shared" si="25"/>
        <v>1.4512587926808002E-2</v>
      </c>
      <c r="L63" s="2">
        <f t="shared" si="26"/>
        <v>0</v>
      </c>
      <c r="M63" s="2">
        <f t="shared" si="27"/>
        <v>7.5620006671167708E-3</v>
      </c>
      <c r="N63" s="3">
        <f t="shared" si="14"/>
        <v>0.19797716021792303</v>
      </c>
      <c r="O63" s="3">
        <f>SUM(D63:M63,N63)</f>
        <v>0.8085884025867609</v>
      </c>
      <c r="P63" s="3">
        <f t="shared" si="28"/>
        <v>12</v>
      </c>
      <c r="Q63" s="3">
        <f t="shared" si="15"/>
        <v>93.687138838629068</v>
      </c>
      <c r="R63">
        <f t="shared" si="16"/>
        <v>2.4</v>
      </c>
      <c r="S63" s="1">
        <f>D63+E63+F63+G63+M63</f>
        <v>0.51627942084458589</v>
      </c>
      <c r="T63" s="2">
        <f>SUM(H63:L63)</f>
        <v>9.4331821524252027E-2</v>
      </c>
      <c r="U63" s="3">
        <f>N63/O63*100</f>
        <v>24.484293811854446</v>
      </c>
      <c r="V63" s="5">
        <f>S63/O63*100</f>
        <v>63.849471398916023</v>
      </c>
      <c r="W63" s="5">
        <f>T63/O63*100</f>
        <v>11.666234789229529</v>
      </c>
    </row>
    <row r="64" spans="1:23" x14ac:dyDescent="0.25">
      <c r="A64">
        <f t="shared" si="29"/>
        <v>82</v>
      </c>
      <c r="B64">
        <f t="shared" si="17"/>
        <v>2.46</v>
      </c>
      <c r="C64" s="3">
        <f t="shared" si="1"/>
        <v>2.4783104030172862</v>
      </c>
      <c r="D64" s="2">
        <f t="shared" si="18"/>
        <v>0.19961572974537037</v>
      </c>
      <c r="E64" s="2">
        <f t="shared" si="19"/>
        <v>0.15764524297839505</v>
      </c>
      <c r="F64" s="2">
        <f t="shared" si="20"/>
        <v>0</v>
      </c>
      <c r="G64" s="2">
        <f t="shared" si="21"/>
        <v>0.17500800745370371</v>
      </c>
      <c r="H64" s="2">
        <f t="shared" si="22"/>
        <v>7.4349312090518607E-2</v>
      </c>
      <c r="I64" s="2">
        <f t="shared" si="23"/>
        <v>7.4349312090518588E-3</v>
      </c>
      <c r="J64" s="2">
        <f t="shared" si="24"/>
        <v>0</v>
      </c>
      <c r="K64" s="2">
        <f t="shared" si="25"/>
        <v>1.4869862418103718E-2</v>
      </c>
      <c r="L64" s="2">
        <f t="shared" si="26"/>
        <v>0</v>
      </c>
      <c r="M64" s="2">
        <f t="shared" si="27"/>
        <v>7.9163756671167713E-3</v>
      </c>
      <c r="N64" s="3">
        <f t="shared" si="14"/>
        <v>0.19797716021792303</v>
      </c>
      <c r="O64" s="3">
        <f>SUM(D64:M64,N64)</f>
        <v>0.83481662178018312</v>
      </c>
      <c r="P64" s="3">
        <f t="shared" si="28"/>
        <v>12.3</v>
      </c>
      <c r="Q64" s="3">
        <f t="shared" si="15"/>
        <v>93.644246084137279</v>
      </c>
      <c r="R64">
        <f t="shared" si="16"/>
        <v>2.46</v>
      </c>
      <c r="S64" s="1">
        <f>D64+E64+F64+G64+M64</f>
        <v>0.54018535584458593</v>
      </c>
      <c r="T64" s="2">
        <f>SUM(H64:L64)</f>
        <v>9.6654105717674188E-2</v>
      </c>
      <c r="U64" s="3">
        <f>N64/O64*100</f>
        <v>23.715047718593784</v>
      </c>
      <c r="V64" s="5">
        <f>S64/O64*100</f>
        <v>64.707067606378232</v>
      </c>
      <c r="W64" s="5">
        <f>T64/O64*100</f>
        <v>11.577884675027988</v>
      </c>
    </row>
    <row r="65" spans="1:23" x14ac:dyDescent="0.25">
      <c r="A65">
        <f t="shared" si="29"/>
        <v>84</v>
      </c>
      <c r="B65">
        <f t="shared" si="17"/>
        <v>2.52</v>
      </c>
      <c r="C65" s="3">
        <f t="shared" si="1"/>
        <v>2.5378775489971348</v>
      </c>
      <c r="D65" s="2">
        <f t="shared" si="18"/>
        <v>0.20932672974537042</v>
      </c>
      <c r="E65" s="2">
        <f t="shared" si="19"/>
        <v>0.16531444297839507</v>
      </c>
      <c r="F65" s="2">
        <f t="shared" si="20"/>
        <v>0</v>
      </c>
      <c r="G65" s="2">
        <f t="shared" si="21"/>
        <v>0.18176088745370372</v>
      </c>
      <c r="H65" s="2">
        <f t="shared" si="22"/>
        <v>7.6136326469914042E-2</v>
      </c>
      <c r="I65" s="2">
        <f t="shared" si="23"/>
        <v>7.6136326469914044E-3</v>
      </c>
      <c r="J65" s="2">
        <f t="shared" si="24"/>
        <v>0</v>
      </c>
      <c r="K65" s="2">
        <f t="shared" si="25"/>
        <v>1.5227265293982809E-2</v>
      </c>
      <c r="L65" s="2">
        <f t="shared" si="26"/>
        <v>0</v>
      </c>
      <c r="M65" s="2">
        <f t="shared" si="27"/>
        <v>8.2795006671167719E-3</v>
      </c>
      <c r="N65" s="3">
        <f t="shared" si="14"/>
        <v>0.19797716021792303</v>
      </c>
      <c r="O65" s="3">
        <f>SUM(D65:M65,N65)</f>
        <v>0.86163594547339739</v>
      </c>
      <c r="P65" s="3">
        <f t="shared" si="28"/>
        <v>12.6</v>
      </c>
      <c r="Q65" s="3">
        <f t="shared" si="15"/>
        <v>93.599322185182615</v>
      </c>
      <c r="R65">
        <f t="shared" si="16"/>
        <v>2.52</v>
      </c>
      <c r="S65" s="1">
        <f>D65+E65+F65+G65+M65</f>
        <v>0.56468156084458609</v>
      </c>
      <c r="T65" s="2">
        <f>SUM(H65:L65)</f>
        <v>9.8977224410888257E-2</v>
      </c>
      <c r="U65" s="3">
        <f>N65/O65*100</f>
        <v>22.976891952801601</v>
      </c>
      <c r="V65" s="5">
        <f>S65/O65*100</f>
        <v>65.535979993771093</v>
      </c>
      <c r="W65" s="5">
        <f>T65/O65*100</f>
        <v>11.487128053427307</v>
      </c>
    </row>
    <row r="66" spans="1:23" x14ac:dyDescent="0.25">
      <c r="A66">
        <f t="shared" si="29"/>
        <v>86</v>
      </c>
      <c r="B66">
        <f t="shared" si="17"/>
        <v>2.58</v>
      </c>
      <c r="C66" s="3">
        <f t="shared" si="1"/>
        <v>2.5974646202987453</v>
      </c>
      <c r="D66" s="2">
        <f t="shared" si="18"/>
        <v>0.2192717297453704</v>
      </c>
      <c r="E66" s="2">
        <f t="shared" si="19"/>
        <v>0.17316844297839507</v>
      </c>
      <c r="F66" s="2">
        <f t="shared" si="20"/>
        <v>0</v>
      </c>
      <c r="G66" s="2">
        <f t="shared" si="21"/>
        <v>0.18867648745370375</v>
      </c>
      <c r="H66" s="2">
        <f t="shared" si="22"/>
        <v>7.7923938608962365E-2</v>
      </c>
      <c r="I66" s="2">
        <f t="shared" si="23"/>
        <v>7.7923938608962353E-3</v>
      </c>
      <c r="J66" s="2">
        <f t="shared" si="24"/>
        <v>0</v>
      </c>
      <c r="K66" s="2">
        <f t="shared" si="25"/>
        <v>1.5584787721792471E-2</v>
      </c>
      <c r="L66" s="2">
        <f t="shared" si="26"/>
        <v>0</v>
      </c>
      <c r="M66" s="2">
        <f t="shared" si="27"/>
        <v>8.6513756671167726E-3</v>
      </c>
      <c r="N66" s="3">
        <f t="shared" si="14"/>
        <v>0.19797716021792303</v>
      </c>
      <c r="O66" s="3">
        <f>SUM(D66:M66,N66)</f>
        <v>0.8890463162541602</v>
      </c>
      <c r="P66" s="3">
        <f t="shared" si="28"/>
        <v>12.9</v>
      </c>
      <c r="Q66" s="3">
        <f t="shared" si="15"/>
        <v>93.552517731366407</v>
      </c>
      <c r="R66">
        <f t="shared" si="16"/>
        <v>2.58</v>
      </c>
      <c r="S66" s="1">
        <f>D66+E66+F66+G66+M66</f>
        <v>0.58976803584458604</v>
      </c>
      <c r="T66" s="2">
        <f>SUM(H66:L66)</f>
        <v>0.10130112019165108</v>
      </c>
      <c r="U66" s="3">
        <f>N66/O66*100</f>
        <v>22.2684866466873</v>
      </c>
      <c r="V66" s="5">
        <f>S66/O66*100</f>
        <v>66.337155338483328</v>
      </c>
      <c r="W66" s="5">
        <f>T66/O66*100</f>
        <v>11.39435801482936</v>
      </c>
    </row>
    <row r="67" spans="1:23" x14ac:dyDescent="0.25">
      <c r="A67">
        <f t="shared" si="29"/>
        <v>88</v>
      </c>
      <c r="B67">
        <f t="shared" si="17"/>
        <v>2.64</v>
      </c>
      <c r="C67" s="3">
        <f t="shared" si="1"/>
        <v>2.6570702763953582</v>
      </c>
      <c r="D67" s="2">
        <f t="shared" si="18"/>
        <v>0.22945072974537045</v>
      </c>
      <c r="E67" s="2">
        <f t="shared" si="19"/>
        <v>0.18120724297839508</v>
      </c>
      <c r="F67" s="2">
        <f t="shared" si="20"/>
        <v>0</v>
      </c>
      <c r="G67" s="2">
        <f t="shared" si="21"/>
        <v>0.19575480745370377</v>
      </c>
      <c r="H67" s="2">
        <f t="shared" si="22"/>
        <v>7.9712108291860748E-2</v>
      </c>
      <c r="I67" s="2">
        <f t="shared" si="23"/>
        <v>7.9712108291860734E-3</v>
      </c>
      <c r="J67" s="2">
        <f t="shared" si="24"/>
        <v>0</v>
      </c>
      <c r="K67" s="2">
        <f t="shared" si="25"/>
        <v>1.5942421658372147E-2</v>
      </c>
      <c r="L67" s="2">
        <f t="shared" si="26"/>
        <v>0</v>
      </c>
      <c r="M67" s="2">
        <f t="shared" si="27"/>
        <v>9.0320006671167716E-3</v>
      </c>
      <c r="N67" s="3">
        <f t="shared" si="14"/>
        <v>0.19797716021792303</v>
      </c>
      <c r="O67" s="3">
        <f>SUM(D67:M67,N67)</f>
        <v>0.91704768184192786</v>
      </c>
      <c r="P67" s="3">
        <f t="shared" si="28"/>
        <v>13.200000000000001</v>
      </c>
      <c r="Q67" s="3">
        <f t="shared" si="15"/>
        <v>93.503969792342062</v>
      </c>
      <c r="R67">
        <f t="shared" si="16"/>
        <v>2.64</v>
      </c>
      <c r="S67" s="1">
        <f>D67+E67+F67+G67+M67</f>
        <v>0.61544478084458598</v>
      </c>
      <c r="T67" s="2">
        <f>SUM(H67:L67)</f>
        <v>0.10362574077941897</v>
      </c>
      <c r="U67" s="3">
        <f>N67/O67*100</f>
        <v>21.588535049810908</v>
      </c>
      <c r="V67" s="5">
        <f>S67/O67*100</f>
        <v>67.111535531984543</v>
      </c>
      <c r="W67" s="5">
        <f>T67/O67*100</f>
        <v>11.29992941820456</v>
      </c>
    </row>
    <row r="68" spans="1:23" x14ac:dyDescent="0.25">
      <c r="A68">
        <f t="shared" si="29"/>
        <v>90</v>
      </c>
      <c r="B68">
        <f t="shared" si="17"/>
        <v>2.7</v>
      </c>
      <c r="C68" s="3">
        <f t="shared" si="1"/>
        <v>2.7166932940072028</v>
      </c>
      <c r="D68" s="2">
        <f t="shared" si="18"/>
        <v>0.23986372974537049</v>
      </c>
      <c r="E68" s="2">
        <f t="shared" si="19"/>
        <v>0.1894308429783951</v>
      </c>
      <c r="F68" s="2">
        <f t="shared" si="20"/>
        <v>0</v>
      </c>
      <c r="G68" s="2">
        <f t="shared" si="21"/>
        <v>0.20299584745370375</v>
      </c>
      <c r="H68" s="2">
        <f t="shared" si="22"/>
        <v>8.1500798820216089E-2</v>
      </c>
      <c r="I68" s="2">
        <f t="shared" si="23"/>
        <v>8.1500798820216078E-3</v>
      </c>
      <c r="J68" s="2">
        <f t="shared" si="24"/>
        <v>0</v>
      </c>
      <c r="K68" s="2">
        <f t="shared" si="25"/>
        <v>1.6300159764043216E-2</v>
      </c>
      <c r="L68" s="2">
        <f t="shared" si="26"/>
        <v>0</v>
      </c>
      <c r="M68" s="2">
        <f t="shared" si="27"/>
        <v>9.4213756671167742E-3</v>
      </c>
      <c r="N68" s="3">
        <f t="shared" si="14"/>
        <v>0.19797716021792303</v>
      </c>
      <c r="O68" s="3">
        <f>SUM(D68:M68,N68)</f>
        <v>0.94563999452879</v>
      </c>
      <c r="P68" s="3">
        <f t="shared" si="28"/>
        <v>13.5</v>
      </c>
      <c r="Q68" s="3">
        <f t="shared" si="15"/>
        <v>93.45380339751685</v>
      </c>
      <c r="R68">
        <f t="shared" si="16"/>
        <v>2.7</v>
      </c>
      <c r="S68" s="1">
        <f>D68+E68+F68+G68+M68</f>
        <v>0.64171179584458604</v>
      </c>
      <c r="T68" s="2">
        <f>SUM(H68:L68)</f>
        <v>0.10595103846628091</v>
      </c>
      <c r="U68" s="3">
        <f>N68/O68*100</f>
        <v>20.935785432444039</v>
      </c>
      <c r="V68" s="5">
        <f>S68/O68*100</f>
        <v>67.860052404440594</v>
      </c>
      <c r="W68" s="5">
        <f>T68/O68*100</f>
        <v>11.204162163115367</v>
      </c>
    </row>
    <row r="69" spans="1:23" x14ac:dyDescent="0.25">
      <c r="A69">
        <f t="shared" si="29"/>
        <v>92</v>
      </c>
      <c r="B69">
        <f t="shared" si="17"/>
        <v>2.76</v>
      </c>
      <c r="C69" s="3">
        <f t="shared" si="1"/>
        <v>2.7763325545949469</v>
      </c>
      <c r="D69" s="2">
        <f t="shared" si="18"/>
        <v>0.25051072974537036</v>
      </c>
      <c r="E69" s="2">
        <f t="shared" si="19"/>
        <v>0.19783924297839506</v>
      </c>
      <c r="F69" s="2">
        <f t="shared" si="20"/>
        <v>0</v>
      </c>
      <c r="G69" s="2">
        <f t="shared" si="21"/>
        <v>0.21039960745370373</v>
      </c>
      <c r="H69" s="2">
        <f t="shared" si="22"/>
        <v>8.3289976637848401E-2</v>
      </c>
      <c r="I69" s="2">
        <f t="shared" si="23"/>
        <v>8.3289976637848408E-3</v>
      </c>
      <c r="J69" s="2">
        <f t="shared" si="24"/>
        <v>0</v>
      </c>
      <c r="K69" s="2">
        <f t="shared" si="25"/>
        <v>1.6657995327569682E-2</v>
      </c>
      <c r="L69" s="2">
        <f t="shared" si="26"/>
        <v>0</v>
      </c>
      <c r="M69" s="2">
        <f t="shared" si="27"/>
        <v>9.8195006671167699E-3</v>
      </c>
      <c r="N69" s="3">
        <f t="shared" si="14"/>
        <v>0.19797716021792303</v>
      </c>
      <c r="O69" s="3">
        <f>SUM(D69:M69,N69)</f>
        <v>0.97482321069171196</v>
      </c>
      <c r="P69" s="3">
        <f t="shared" si="28"/>
        <v>13.799999999999999</v>
      </c>
      <c r="Q69" s="3">
        <f t="shared" si="15"/>
        <v>93.402132825614544</v>
      </c>
      <c r="R69">
        <f t="shared" si="16"/>
        <v>2.76</v>
      </c>
      <c r="S69" s="1">
        <f>D69+E69+F69+G69+M69</f>
        <v>0.66856908084458599</v>
      </c>
      <c r="T69" s="2">
        <f>SUM(H69:L69)</f>
        <v>0.10827696962920291</v>
      </c>
      <c r="U69" s="3">
        <f>N69/O69*100</f>
        <v>20.309032247749109</v>
      </c>
      <c r="V69" s="5">
        <f>S69/O69*100</f>
        <v>68.583623523919258</v>
      </c>
      <c r="W69" s="5">
        <f>T69/O69*100</f>
        <v>11.107344228331625</v>
      </c>
    </row>
    <row r="70" spans="1:23" x14ac:dyDescent="0.25">
      <c r="A70">
        <f t="shared" si="29"/>
        <v>94</v>
      </c>
      <c r="B70">
        <f t="shared" si="17"/>
        <v>2.82</v>
      </c>
      <c r="C70" s="3">
        <f t="shared" si="1"/>
        <v>2.8359870334160031</v>
      </c>
      <c r="D70" s="2">
        <f t="shared" si="18"/>
        <v>0.26139172974537028</v>
      </c>
      <c r="E70" s="2">
        <f t="shared" si="19"/>
        <v>0.206432442978395</v>
      </c>
      <c r="F70" s="2">
        <f t="shared" si="20"/>
        <v>0</v>
      </c>
      <c r="G70" s="2">
        <f t="shared" si="21"/>
        <v>0.21796608745370366</v>
      </c>
      <c r="H70" s="2">
        <f t="shared" si="22"/>
        <v>8.5079611002480099E-2</v>
      </c>
      <c r="I70" s="2">
        <f t="shared" si="23"/>
        <v>8.5079611002480092E-3</v>
      </c>
      <c r="J70" s="2">
        <f t="shared" si="24"/>
        <v>0</v>
      </c>
      <c r="K70" s="2">
        <f t="shared" si="25"/>
        <v>1.7015922200496018E-2</v>
      </c>
      <c r="L70" s="2">
        <f t="shared" si="26"/>
        <v>0</v>
      </c>
      <c r="M70" s="2">
        <f t="shared" si="27"/>
        <v>1.0226375667116769E-2</v>
      </c>
      <c r="N70" s="3">
        <f t="shared" si="14"/>
        <v>0.19797716021792303</v>
      </c>
      <c r="O70" s="3">
        <f>SUM(D70:M70,N70)</f>
        <v>1.004597290365733</v>
      </c>
      <c r="P70" s="3">
        <f t="shared" si="28"/>
        <v>14.1</v>
      </c>
      <c r="Q70" s="3">
        <f t="shared" si="15"/>
        <v>93.349062732003446</v>
      </c>
      <c r="R70">
        <f t="shared" si="16"/>
        <v>2.82</v>
      </c>
      <c r="S70" s="1">
        <f>D70+E70+F70+G70+M70</f>
        <v>0.69601663584458584</v>
      </c>
      <c r="T70" s="2">
        <f>SUM(H70:L70)</f>
        <v>0.11060349430322414</v>
      </c>
      <c r="U70" s="3">
        <f>N70/O70*100</f>
        <v>19.707116684124003</v>
      </c>
      <c r="V70" s="5">
        <f>S70/O70*100</f>
        <v>69.283148831826381</v>
      </c>
      <c r="W70" s="5">
        <f>T70/O70*100</f>
        <v>11.009734484049615</v>
      </c>
    </row>
    <row r="71" spans="1:23" x14ac:dyDescent="0.25">
      <c r="A71">
        <f t="shared" si="29"/>
        <v>96</v>
      </c>
      <c r="B71">
        <f t="shared" si="17"/>
        <v>2.88</v>
      </c>
      <c r="C71" s="3">
        <f t="shared" si="1"/>
        <v>2.8956557899211197</v>
      </c>
      <c r="D71" s="2">
        <f t="shared" si="18"/>
        <v>0.27250672974537038</v>
      </c>
      <c r="E71" s="2">
        <f t="shared" si="19"/>
        <v>0.21521044297839506</v>
      </c>
      <c r="F71" s="2">
        <f t="shared" si="20"/>
        <v>0</v>
      </c>
      <c r="G71" s="2">
        <f t="shared" si="21"/>
        <v>0.22569528745370371</v>
      </c>
      <c r="H71" s="2">
        <f t="shared" si="22"/>
        <v>8.6869673697633598E-2</v>
      </c>
      <c r="I71" s="2">
        <f t="shared" si="23"/>
        <v>8.6869673697633591E-3</v>
      </c>
      <c r="J71" s="2">
        <f t="shared" si="24"/>
        <v>0</v>
      </c>
      <c r="K71" s="2">
        <f t="shared" si="25"/>
        <v>1.7373934739526718E-2</v>
      </c>
      <c r="L71" s="2">
        <f t="shared" si="26"/>
        <v>0</v>
      </c>
      <c r="M71" s="2">
        <f t="shared" si="27"/>
        <v>1.0642000667116772E-2</v>
      </c>
      <c r="N71" s="3">
        <f t="shared" si="14"/>
        <v>0.19797716021792303</v>
      </c>
      <c r="O71" s="3">
        <f>SUM(D71:M71,N71)</f>
        <v>1.0349621968694327</v>
      </c>
      <c r="P71" s="3">
        <f t="shared" si="28"/>
        <v>14.399999999999999</v>
      </c>
      <c r="Q71" s="3">
        <f t="shared" si="15"/>
        <v>93.294689137111405</v>
      </c>
      <c r="R71">
        <f t="shared" si="16"/>
        <v>2.88</v>
      </c>
      <c r="S71" s="1">
        <f>D71+E71+F71+G71+M71</f>
        <v>0.72405446084458591</v>
      </c>
      <c r="T71" s="2">
        <f>SUM(H71:L71)</f>
        <v>0.11293057580692367</v>
      </c>
      <c r="U71" s="3">
        <f>N71/O71*100</f>
        <v>19.128926719909863</v>
      </c>
      <c r="V71" s="5">
        <f>S71/O71*100</f>
        <v>69.95950799311467</v>
      </c>
      <c r="W71" s="5">
        <f>T71/O71*100</f>
        <v>10.911565286975463</v>
      </c>
    </row>
    <row r="72" spans="1:23" x14ac:dyDescent="0.25">
      <c r="A72">
        <f t="shared" si="29"/>
        <v>98</v>
      </c>
      <c r="B72">
        <f t="shared" si="17"/>
        <v>2.94</v>
      </c>
      <c r="C72" s="3">
        <f t="shared" si="1"/>
        <v>2.9553379593040967</v>
      </c>
      <c r="D72" s="2">
        <f t="shared" si="18"/>
        <v>0.28385572974537043</v>
      </c>
      <c r="E72" s="2">
        <f t="shared" si="19"/>
        <v>0.224173242978395</v>
      </c>
      <c r="F72" s="2">
        <f t="shared" si="20"/>
        <v>0</v>
      </c>
      <c r="G72" s="2">
        <f t="shared" si="21"/>
        <v>0.2335872074537037</v>
      </c>
      <c r="H72" s="2">
        <f t="shared" si="22"/>
        <v>8.8660138779122932E-2</v>
      </c>
      <c r="I72" s="2">
        <f t="shared" si="23"/>
        <v>8.8660138779122905E-3</v>
      </c>
      <c r="J72" s="2">
        <f t="shared" si="24"/>
        <v>0</v>
      </c>
      <c r="K72" s="2">
        <f t="shared" si="25"/>
        <v>1.7732027755824581E-2</v>
      </c>
      <c r="L72" s="2">
        <f t="shared" si="26"/>
        <v>0</v>
      </c>
      <c r="M72" s="2">
        <f t="shared" si="27"/>
        <v>1.106637566711677E-2</v>
      </c>
      <c r="N72" s="3">
        <f t="shared" si="14"/>
        <v>0.19797716021792303</v>
      </c>
      <c r="O72" s="3">
        <f>SUM(D72:M72,N72)</f>
        <v>1.0659178964753688</v>
      </c>
      <c r="P72" s="3">
        <f t="shared" si="28"/>
        <v>14.7</v>
      </c>
      <c r="Q72" s="3">
        <f t="shared" si="15"/>
        <v>93.23910029549458</v>
      </c>
      <c r="R72">
        <f t="shared" si="16"/>
        <v>2.94</v>
      </c>
      <c r="S72" s="1">
        <f>D72+E72+F72+G72+M72</f>
        <v>0.75268255584458599</v>
      </c>
      <c r="T72" s="2">
        <f>SUM(H72:L72)</f>
        <v>0.1152581804128598</v>
      </c>
      <c r="U72" s="3">
        <f>N72/O72*100</f>
        <v>18.573396775921182</v>
      </c>
      <c r="V72" s="5">
        <f>S72/O72*100</f>
        <v>70.613558355052803</v>
      </c>
      <c r="W72" s="5">
        <f>T72/O72*100</f>
        <v>10.813044869026006</v>
      </c>
    </row>
    <row r="73" spans="1:23" x14ac:dyDescent="0.25">
      <c r="A73">
        <f t="shared" si="29"/>
        <v>100</v>
      </c>
      <c r="B73">
        <f t="shared" si="17"/>
        <v>3</v>
      </c>
      <c r="C73" s="3">
        <f t="shared" si="1"/>
        <v>3.0150327450466778</v>
      </c>
      <c r="D73" s="2">
        <f t="shared" si="18"/>
        <v>0.29543872974537044</v>
      </c>
      <c r="E73" s="2">
        <f t="shared" si="19"/>
        <v>0.23332084297839509</v>
      </c>
      <c r="F73" s="2">
        <f t="shared" si="20"/>
        <v>0</v>
      </c>
      <c r="G73" s="2">
        <f t="shared" si="21"/>
        <v>0.24164184745370376</v>
      </c>
      <c r="H73" s="2">
        <f t="shared" si="22"/>
        <v>9.0450982351400325E-2</v>
      </c>
      <c r="I73" s="2">
        <f t="shared" si="23"/>
        <v>9.0450982351400339E-3</v>
      </c>
      <c r="J73" s="2">
        <f t="shared" si="24"/>
        <v>0</v>
      </c>
      <c r="K73" s="2">
        <f t="shared" si="25"/>
        <v>1.8090196470280068E-2</v>
      </c>
      <c r="L73" s="2">
        <f t="shared" si="26"/>
        <v>0</v>
      </c>
      <c r="M73" s="2">
        <f t="shared" si="27"/>
        <v>1.1499500667116774E-2</v>
      </c>
      <c r="N73" s="3">
        <f t="shared" si="14"/>
        <v>0.19797716021792303</v>
      </c>
      <c r="O73" s="3">
        <f>SUM(D73:M73,N73)</f>
        <v>1.0974643581193295</v>
      </c>
      <c r="P73" s="3">
        <f t="shared" si="28"/>
        <v>15</v>
      </c>
      <c r="Q73" s="3">
        <f t="shared" si="15"/>
        <v>93.182377462039341</v>
      </c>
      <c r="R73">
        <f t="shared" si="16"/>
        <v>3</v>
      </c>
      <c r="S73" s="1">
        <f>D73+E73+F73+G73+M73</f>
        <v>0.78190092084458607</v>
      </c>
      <c r="T73" s="2">
        <f>SUM(H73:L73)</f>
        <v>0.11758627705682043</v>
      </c>
      <c r="U73" s="3">
        <f>N73/O73*100</f>
        <v>18.039507046696869</v>
      </c>
      <c r="V73" s="5">
        <f>S73/O73*100</f>
        <v>71.246133421999332</v>
      </c>
      <c r="W73" s="5">
        <f>T73/O73*100</f>
        <v>10.714359531303797</v>
      </c>
    </row>
    <row r="74" spans="1:23" x14ac:dyDescent="0.25">
      <c r="C74" s="3"/>
      <c r="D74" s="4"/>
      <c r="E74" s="7"/>
      <c r="F74" s="7"/>
      <c r="G74" s="7"/>
      <c r="H74" s="7"/>
      <c r="J74" s="1"/>
      <c r="L74" s="1"/>
      <c r="M74" s="3"/>
      <c r="N74" s="1"/>
      <c r="O74" s="3"/>
      <c r="P74" s="3"/>
      <c r="Q74" s="3"/>
      <c r="R74" s="3"/>
      <c r="S74" s="2"/>
      <c r="T74" s="3"/>
      <c r="U74" s="5"/>
      <c r="V74" s="5"/>
    </row>
    <row r="75" spans="1:23" x14ac:dyDescent="0.25">
      <c r="C75" s="3"/>
      <c r="D75" s="4"/>
      <c r="E75" s="7"/>
      <c r="F75" s="7"/>
      <c r="G75" s="7"/>
      <c r="H75" s="7"/>
      <c r="J75" s="1"/>
      <c r="L75" s="1"/>
      <c r="M75" s="3"/>
      <c r="N75" s="1"/>
      <c r="O75" s="3"/>
      <c r="P75" s="3"/>
      <c r="Q75" s="3"/>
      <c r="R75" s="3"/>
      <c r="S75" s="2"/>
      <c r="T75" s="3"/>
      <c r="U75" s="5"/>
      <c r="V75" s="5"/>
    </row>
    <row r="76" spans="1:23" x14ac:dyDescent="0.25">
      <c r="C76" s="3"/>
      <c r="D76" s="4"/>
      <c r="E76" s="7"/>
      <c r="F76" s="7"/>
      <c r="G76" s="7"/>
      <c r="H76" s="7"/>
      <c r="J76" s="1"/>
      <c r="L76" s="1"/>
      <c r="M76" s="3"/>
      <c r="N76" s="1"/>
      <c r="O76" s="3"/>
      <c r="P76" s="3"/>
      <c r="Q76" s="3"/>
      <c r="R76" s="3"/>
      <c r="S76" s="2"/>
      <c r="T76" s="3"/>
      <c r="U76" s="5"/>
      <c r="V76" s="5"/>
    </row>
    <row r="77" spans="1:23" x14ac:dyDescent="0.25">
      <c r="C77" s="3"/>
      <c r="D77" s="4"/>
      <c r="E77" s="7"/>
      <c r="F77" s="7"/>
      <c r="G77" s="7"/>
      <c r="H77" s="7"/>
      <c r="J77" s="1"/>
      <c r="L77" s="1"/>
      <c r="M77" s="3"/>
      <c r="N77" s="1"/>
      <c r="O77" s="3"/>
      <c r="P77" s="3"/>
      <c r="Q77" s="3"/>
      <c r="R77" s="3"/>
      <c r="S77" s="2"/>
      <c r="T77" s="3"/>
      <c r="U77" s="5"/>
      <c r="V77" s="5"/>
    </row>
    <row r="78" spans="1:23" x14ac:dyDescent="0.25">
      <c r="C78" s="3"/>
      <c r="D78" s="4"/>
      <c r="E78" s="7"/>
      <c r="F78" s="7"/>
      <c r="G78" s="7"/>
      <c r="H78" s="7"/>
      <c r="J78" s="1"/>
      <c r="L78" s="1"/>
      <c r="M78" s="3"/>
      <c r="N78" s="1"/>
      <c r="O78" s="3"/>
      <c r="P78" s="3"/>
      <c r="Q78" s="3"/>
      <c r="R78" s="3"/>
      <c r="S78" s="2"/>
      <c r="T78" s="3"/>
      <c r="U78" s="5"/>
      <c r="V78" s="5"/>
    </row>
    <row r="79" spans="1:23" x14ac:dyDescent="0.25">
      <c r="C79" s="3"/>
      <c r="D79" s="4"/>
      <c r="E79" s="7"/>
      <c r="F79" s="7"/>
      <c r="G79" s="7"/>
      <c r="H79" s="7"/>
      <c r="J79" s="1"/>
      <c r="L79" s="1"/>
      <c r="M79" s="3"/>
      <c r="N79" s="1"/>
      <c r="O79" s="3"/>
      <c r="P79" s="3"/>
      <c r="Q79" s="3"/>
      <c r="R79" s="3"/>
      <c r="S79" s="2"/>
      <c r="T79" s="3"/>
      <c r="U79" s="5"/>
      <c r="V79" s="5"/>
    </row>
    <row r="80" spans="1:23" x14ac:dyDescent="0.25">
      <c r="C80" s="3"/>
      <c r="D80" s="4"/>
      <c r="E80" s="7"/>
      <c r="F80" s="7"/>
      <c r="G80" s="7"/>
      <c r="H80" s="7"/>
      <c r="J80" s="1"/>
      <c r="L80" s="1"/>
      <c r="M80" s="3"/>
      <c r="N80" s="1"/>
      <c r="O80" s="3"/>
      <c r="P80" s="3"/>
      <c r="Q80" s="3"/>
      <c r="R80" s="3"/>
      <c r="S80" s="2"/>
      <c r="T80" s="3"/>
      <c r="U80" s="5"/>
      <c r="V80" s="5"/>
    </row>
    <row r="81" spans="3:22" x14ac:dyDescent="0.25">
      <c r="C81" s="3"/>
      <c r="D81" s="4"/>
      <c r="E81" s="7"/>
      <c r="F81" s="7"/>
      <c r="G81" s="7"/>
      <c r="H81" s="7"/>
      <c r="J81" s="1"/>
      <c r="L81" s="1"/>
      <c r="M81" s="3"/>
      <c r="N81" s="1"/>
      <c r="O81" s="3"/>
      <c r="P81" s="3"/>
      <c r="Q81" s="3"/>
      <c r="R81" s="3"/>
      <c r="S81" s="2"/>
      <c r="T81" s="3"/>
      <c r="U81" s="5"/>
      <c r="V81" s="5"/>
    </row>
    <row r="82" spans="3:22" x14ac:dyDescent="0.25">
      <c r="C82" s="3"/>
      <c r="D82" s="4"/>
      <c r="E82" s="7"/>
      <c r="F82" s="7"/>
      <c r="G82" s="7"/>
      <c r="H82" s="7"/>
      <c r="J82" s="1"/>
      <c r="L82" s="1"/>
      <c r="M82" s="3"/>
      <c r="N82" s="1"/>
      <c r="O82" s="3"/>
      <c r="P82" s="3"/>
      <c r="Q82" s="3"/>
      <c r="R82" s="3"/>
      <c r="S82" s="2"/>
      <c r="T82" s="3"/>
      <c r="U82" s="5"/>
      <c r="V82" s="5"/>
    </row>
    <row r="83" spans="3:22" x14ac:dyDescent="0.25">
      <c r="C83" s="3"/>
      <c r="D83" s="4"/>
      <c r="E83" s="7"/>
      <c r="F83" s="7"/>
      <c r="G83" s="7"/>
      <c r="H83" s="7"/>
      <c r="J83" s="1"/>
      <c r="L83" s="1"/>
      <c r="M83" s="3"/>
      <c r="N83" s="1"/>
      <c r="O83" s="3"/>
      <c r="P83" s="3"/>
      <c r="Q83" s="3"/>
      <c r="R83" s="3"/>
      <c r="S83" s="2"/>
      <c r="T83" s="3"/>
      <c r="U83" s="5"/>
      <c r="V83" s="5"/>
    </row>
    <row r="84" spans="3:22" x14ac:dyDescent="0.25">
      <c r="C84" s="3"/>
      <c r="D84" s="4"/>
      <c r="E84" s="7"/>
      <c r="F84" s="7"/>
      <c r="G84" s="7"/>
      <c r="H84" s="7"/>
      <c r="J84" s="1"/>
      <c r="L84" s="1"/>
      <c r="M84" s="3"/>
      <c r="N84" s="1"/>
      <c r="O84" s="3"/>
      <c r="P84" s="3"/>
      <c r="Q84" s="3"/>
      <c r="R84" s="3"/>
      <c r="S84" s="2"/>
      <c r="T84" s="3"/>
      <c r="U84" s="5"/>
      <c r="V84" s="5"/>
    </row>
    <row r="85" spans="3:22" x14ac:dyDescent="0.25">
      <c r="C85" s="3"/>
      <c r="D85" s="4"/>
      <c r="E85" s="7"/>
      <c r="F85" s="7"/>
      <c r="G85" s="7"/>
      <c r="H85" s="7"/>
      <c r="J85" s="1"/>
      <c r="L85" s="1"/>
      <c r="M85" s="3"/>
      <c r="N85" s="1"/>
      <c r="O85" s="3"/>
      <c r="P85" s="3"/>
      <c r="Q85" s="3"/>
      <c r="R85" s="3"/>
      <c r="S85" s="2"/>
      <c r="T85" s="3"/>
      <c r="U85" s="5"/>
      <c r="V85" s="5"/>
    </row>
    <row r="86" spans="3:22" x14ac:dyDescent="0.25">
      <c r="C86" s="3"/>
      <c r="D86" s="4"/>
      <c r="E86" s="7"/>
      <c r="F86" s="7"/>
      <c r="G86" s="7"/>
      <c r="H86" s="7"/>
      <c r="J86" s="1"/>
      <c r="L86" s="1"/>
      <c r="M86" s="3"/>
      <c r="N86" s="1"/>
      <c r="O86" s="3"/>
      <c r="P86" s="3"/>
      <c r="Q86" s="3"/>
      <c r="R86" s="3"/>
      <c r="S86" s="2"/>
      <c r="T86" s="3"/>
      <c r="U86" s="5"/>
      <c r="V86" s="5"/>
    </row>
    <row r="87" spans="3:22" x14ac:dyDescent="0.25">
      <c r="C87" s="3"/>
      <c r="D87" s="4"/>
      <c r="E87" s="7"/>
      <c r="F87" s="7"/>
      <c r="G87" s="7"/>
      <c r="H87" s="7"/>
      <c r="J87" s="1"/>
      <c r="L87" s="1"/>
      <c r="M87" s="3"/>
      <c r="N87" s="1"/>
      <c r="O87" s="3"/>
      <c r="P87" s="3"/>
      <c r="Q87" s="3"/>
      <c r="R87" s="3"/>
      <c r="S87" s="2"/>
      <c r="T87" s="3"/>
      <c r="U87" s="5"/>
      <c r="V87" s="5"/>
    </row>
    <row r="88" spans="3:22" x14ac:dyDescent="0.25">
      <c r="C88" s="3"/>
      <c r="D88" s="4"/>
      <c r="E88" s="7"/>
      <c r="F88" s="7"/>
      <c r="G88" s="7"/>
      <c r="H88" s="7"/>
      <c r="J88" s="1"/>
      <c r="L88" s="1"/>
      <c r="M88" s="3"/>
      <c r="N88" s="1"/>
      <c r="O88" s="3"/>
      <c r="P88" s="3"/>
      <c r="Q88" s="3"/>
      <c r="R88" s="3"/>
      <c r="S88" s="2"/>
      <c r="T88" s="3"/>
      <c r="U88" s="5"/>
      <c r="V88" s="5"/>
    </row>
    <row r="89" spans="3:22" x14ac:dyDescent="0.25">
      <c r="C89" s="3"/>
      <c r="D89" s="4"/>
      <c r="E89" s="7"/>
      <c r="F89" s="7"/>
      <c r="G89" s="7"/>
      <c r="H89" s="7"/>
      <c r="J89" s="1"/>
      <c r="L89" s="1"/>
      <c r="M89" s="3"/>
      <c r="N89" s="1"/>
      <c r="O89" s="3"/>
      <c r="P89" s="3"/>
      <c r="Q89" s="3"/>
      <c r="R89" s="3"/>
      <c r="S89" s="2"/>
      <c r="T89" s="3"/>
      <c r="U89" s="5"/>
      <c r="V89" s="5"/>
    </row>
    <row r="90" spans="3:22" x14ac:dyDescent="0.25">
      <c r="C90" s="3"/>
      <c r="D90" s="4"/>
      <c r="E90" s="7"/>
      <c r="F90" s="7"/>
      <c r="G90" s="7"/>
      <c r="H90" s="7"/>
      <c r="J90" s="1"/>
      <c r="L90" s="1"/>
      <c r="M90" s="3"/>
      <c r="N90" s="1"/>
      <c r="O90" s="3"/>
      <c r="P90" s="3"/>
      <c r="Q90" s="3"/>
      <c r="R90" s="3"/>
      <c r="S90" s="2"/>
      <c r="T90" s="3"/>
      <c r="U90" s="5"/>
      <c r="V90" s="5"/>
    </row>
    <row r="91" spans="3:22" x14ac:dyDescent="0.25">
      <c r="C91" s="3"/>
      <c r="D91" s="4"/>
      <c r="E91" s="7"/>
      <c r="F91" s="7"/>
      <c r="G91" s="7"/>
      <c r="H91" s="7"/>
      <c r="J91" s="1"/>
      <c r="L91" s="1"/>
      <c r="M91" s="3"/>
      <c r="N91" s="1"/>
      <c r="O91" s="3"/>
      <c r="P91" s="3"/>
      <c r="Q91" s="3"/>
      <c r="R91" s="3"/>
      <c r="S91" s="2"/>
      <c r="T91" s="3"/>
      <c r="U91" s="5"/>
      <c r="V91" s="5"/>
    </row>
    <row r="92" spans="3:22" x14ac:dyDescent="0.25">
      <c r="C92" s="3"/>
      <c r="D92" s="4"/>
      <c r="E92" s="7"/>
      <c r="F92" s="7"/>
      <c r="G92" s="7"/>
      <c r="H92" s="7"/>
      <c r="J92" s="1"/>
      <c r="L92" s="1"/>
      <c r="M92" s="3"/>
      <c r="N92" s="1"/>
      <c r="O92" s="3"/>
      <c r="P92" s="3"/>
      <c r="Q92" s="3"/>
      <c r="R92" s="3"/>
      <c r="S92" s="2"/>
      <c r="T92" s="3"/>
      <c r="U92" s="5"/>
      <c r="V92" s="5"/>
    </row>
    <row r="93" spans="3:22" x14ac:dyDescent="0.25">
      <c r="C93" s="3"/>
      <c r="D93" s="4"/>
      <c r="E93" s="7"/>
      <c r="F93" s="7"/>
      <c r="G93" s="7"/>
      <c r="H93" s="7"/>
      <c r="J93" s="1"/>
      <c r="L93" s="1"/>
      <c r="M93" s="3"/>
      <c r="N93" s="1"/>
      <c r="O93" s="3"/>
      <c r="P93" s="3"/>
      <c r="Q93" s="3"/>
      <c r="R93" s="3"/>
      <c r="S93" s="2"/>
      <c r="T93" s="3"/>
      <c r="U93" s="5"/>
      <c r="V93" s="5"/>
    </row>
    <row r="94" spans="3:22" x14ac:dyDescent="0.25">
      <c r="C94" s="3"/>
      <c r="D94" s="4"/>
      <c r="E94" s="7"/>
      <c r="F94" s="7"/>
      <c r="G94" s="7"/>
      <c r="H94" s="7"/>
      <c r="J94" s="1"/>
      <c r="L94" s="1"/>
      <c r="M94" s="3"/>
      <c r="N94" s="1"/>
      <c r="O94" s="3"/>
      <c r="P94" s="3"/>
      <c r="Q94" s="3"/>
      <c r="R94" s="3"/>
      <c r="S94" s="2"/>
      <c r="T94" s="3"/>
      <c r="U94" s="5"/>
      <c r="V94" s="5"/>
    </row>
    <row r="95" spans="3:22" x14ac:dyDescent="0.25">
      <c r="C95" s="3"/>
      <c r="D95" s="4"/>
      <c r="E95" s="7"/>
      <c r="F95" s="7"/>
      <c r="G95" s="7"/>
      <c r="H95" s="7"/>
      <c r="J95" s="1"/>
      <c r="L95" s="1"/>
      <c r="M95" s="3"/>
      <c r="N95" s="1"/>
      <c r="O95" s="3"/>
      <c r="P95" s="3"/>
      <c r="Q95" s="3"/>
      <c r="R95" s="3"/>
      <c r="S95" s="2"/>
      <c r="T95" s="3"/>
      <c r="U95" s="5"/>
      <c r="V95" s="5"/>
    </row>
    <row r="96" spans="3:22" x14ac:dyDescent="0.25">
      <c r="C96" s="3"/>
      <c r="D96" s="4"/>
      <c r="E96" s="7"/>
      <c r="F96" s="7"/>
      <c r="G96" s="7"/>
      <c r="H96" s="7"/>
      <c r="J96" s="1"/>
      <c r="L96" s="1"/>
      <c r="M96" s="3"/>
      <c r="N96" s="1"/>
      <c r="O96" s="3"/>
      <c r="P96" s="3"/>
      <c r="Q96" s="3"/>
      <c r="R96" s="3"/>
      <c r="S96" s="2"/>
      <c r="T96" s="3"/>
      <c r="U96" s="5"/>
      <c r="V96" s="5"/>
    </row>
    <row r="97" spans="3:22" x14ac:dyDescent="0.25">
      <c r="C97" s="3"/>
      <c r="D97" s="4"/>
      <c r="E97" s="7"/>
      <c r="F97" s="7"/>
      <c r="G97" s="7"/>
      <c r="H97" s="7"/>
      <c r="J97" s="1"/>
      <c r="L97" s="1"/>
      <c r="M97" s="3"/>
      <c r="N97" s="1"/>
      <c r="O97" s="3"/>
      <c r="P97" s="3"/>
      <c r="Q97" s="3"/>
      <c r="R97" s="3"/>
      <c r="S97" s="2"/>
      <c r="T97" s="3"/>
      <c r="U97" s="5"/>
      <c r="V97" s="5"/>
    </row>
    <row r="98" spans="3:22" x14ac:dyDescent="0.25">
      <c r="C98" s="3"/>
      <c r="D98" s="4"/>
      <c r="E98" s="7"/>
      <c r="F98" s="7"/>
      <c r="G98" s="7"/>
      <c r="H98" s="7"/>
      <c r="J98" s="1"/>
      <c r="L98" s="1"/>
      <c r="M98" s="3"/>
      <c r="N98" s="1"/>
      <c r="O98" s="3"/>
      <c r="P98" s="3"/>
      <c r="Q98" s="3"/>
      <c r="R98" s="3"/>
      <c r="S98" s="2"/>
      <c r="T98" s="3"/>
      <c r="U98" s="5"/>
      <c r="V98" s="5"/>
    </row>
    <row r="99" spans="3:22" x14ac:dyDescent="0.25">
      <c r="C99" s="3"/>
      <c r="D99" s="4"/>
      <c r="E99" s="7"/>
      <c r="F99" s="7"/>
      <c r="G99" s="7"/>
      <c r="H99" s="7"/>
      <c r="J99" s="1"/>
      <c r="L99" s="1"/>
      <c r="M99" s="3"/>
      <c r="N99" s="1"/>
      <c r="O99" s="3"/>
      <c r="P99" s="3"/>
      <c r="Q99" s="3"/>
      <c r="R99" s="3"/>
      <c r="S99" s="2"/>
      <c r="T99" s="3"/>
      <c r="U99" s="5"/>
      <c r="V99" s="5"/>
    </row>
    <row r="100" spans="3:22" x14ac:dyDescent="0.25">
      <c r="C100" s="3"/>
      <c r="D100" s="4"/>
      <c r="E100" s="7"/>
      <c r="F100" s="7"/>
      <c r="G100" s="7"/>
      <c r="H100" s="7"/>
      <c r="J100" s="1"/>
      <c r="L100" s="1"/>
      <c r="M100" s="3"/>
      <c r="N100" s="1"/>
      <c r="O100" s="3"/>
      <c r="P100" s="3"/>
      <c r="Q100" s="3"/>
      <c r="R100" s="3"/>
      <c r="S100" s="2"/>
      <c r="T100" s="3"/>
      <c r="U100" s="5"/>
      <c r="V100" s="5"/>
    </row>
    <row r="101" spans="3:22" x14ac:dyDescent="0.25">
      <c r="C101" s="3"/>
      <c r="D101" s="4"/>
      <c r="E101" s="7"/>
      <c r="F101" s="7"/>
      <c r="G101" s="7"/>
      <c r="H101" s="7"/>
      <c r="J101" s="1"/>
      <c r="L101" s="1"/>
      <c r="M101" s="3"/>
      <c r="N101" s="1"/>
      <c r="O101" s="3"/>
      <c r="P101" s="3"/>
      <c r="Q101" s="3"/>
      <c r="R101" s="3"/>
      <c r="S101" s="2"/>
      <c r="T101" s="3"/>
      <c r="U101" s="5"/>
      <c r="V101" s="5"/>
    </row>
    <row r="102" spans="3:22" x14ac:dyDescent="0.25">
      <c r="C102" s="3"/>
      <c r="D102" s="4"/>
      <c r="E102" s="7"/>
      <c r="F102" s="7"/>
      <c r="G102" s="7"/>
      <c r="H102" s="7"/>
      <c r="J102" s="1"/>
      <c r="L102" s="1"/>
      <c r="M102" s="3"/>
      <c r="N102" s="1"/>
      <c r="O102" s="3"/>
      <c r="P102" s="3"/>
      <c r="Q102" s="3"/>
      <c r="R102" s="3"/>
      <c r="S102" s="2"/>
      <c r="T102" s="3"/>
      <c r="U102" s="5"/>
      <c r="V102" s="5"/>
    </row>
    <row r="103" spans="3:22" x14ac:dyDescent="0.25">
      <c r="C103" s="3"/>
      <c r="D103" s="4"/>
      <c r="E103" s="7"/>
      <c r="F103" s="7"/>
      <c r="G103" s="7"/>
      <c r="H103" s="7"/>
      <c r="J103" s="1"/>
      <c r="L103" s="1"/>
      <c r="M103" s="3"/>
      <c r="N103" s="1"/>
      <c r="O103" s="3"/>
      <c r="P103" s="3"/>
      <c r="Q103" s="3"/>
      <c r="R103" s="3"/>
      <c r="S103" s="2"/>
      <c r="T103" s="3"/>
      <c r="U103" s="5"/>
      <c r="V103" s="5"/>
    </row>
    <row r="104" spans="3:22" x14ac:dyDescent="0.25">
      <c r="C104" s="3"/>
      <c r="D104" s="4"/>
      <c r="E104" s="7"/>
      <c r="F104" s="7"/>
      <c r="G104" s="7"/>
      <c r="H104" s="7"/>
      <c r="J104" s="1"/>
      <c r="L104" s="1"/>
      <c r="M104" s="3"/>
      <c r="N104" s="1"/>
      <c r="O104" s="3"/>
      <c r="P104" s="3"/>
      <c r="Q104" s="3"/>
      <c r="R104" s="3"/>
      <c r="S104" s="2"/>
      <c r="T104" s="3"/>
      <c r="U104" s="5"/>
      <c r="V104" s="5"/>
    </row>
    <row r="105" spans="3:22" x14ac:dyDescent="0.25">
      <c r="C105" s="3"/>
      <c r="D105" s="4"/>
      <c r="E105" s="7"/>
      <c r="F105" s="7"/>
      <c r="G105" s="7"/>
      <c r="H105" s="7"/>
      <c r="J105" s="1"/>
      <c r="L105" s="1"/>
      <c r="M105" s="3"/>
      <c r="N105" s="1"/>
      <c r="O105" s="3"/>
      <c r="P105" s="3"/>
      <c r="Q105" s="3"/>
      <c r="R105" s="3"/>
      <c r="S105" s="2"/>
      <c r="T105" s="3"/>
      <c r="U105" s="5"/>
      <c r="V105" s="5"/>
    </row>
    <row r="106" spans="3:22" x14ac:dyDescent="0.25">
      <c r="C106" s="3"/>
      <c r="D106" s="4"/>
      <c r="E106" s="7"/>
      <c r="F106" s="7"/>
      <c r="G106" s="7"/>
      <c r="H106" s="7"/>
      <c r="J106" s="1"/>
      <c r="L106" s="1"/>
      <c r="M106" s="3"/>
      <c r="N106" s="1"/>
      <c r="O106" s="3"/>
      <c r="P106" s="3"/>
      <c r="Q106" s="3"/>
      <c r="R106" s="3"/>
      <c r="S106" s="2"/>
      <c r="T106" s="3"/>
      <c r="U106" s="5"/>
      <c r="V106" s="5"/>
    </row>
    <row r="107" spans="3:22" x14ac:dyDescent="0.25">
      <c r="C107" s="3"/>
      <c r="D107" s="4"/>
      <c r="E107" s="7"/>
      <c r="F107" s="7"/>
      <c r="G107" s="7"/>
      <c r="H107" s="7"/>
      <c r="J107" s="1"/>
      <c r="L107" s="1"/>
      <c r="M107" s="3"/>
      <c r="N107" s="1"/>
      <c r="O107" s="3"/>
      <c r="P107" s="3"/>
      <c r="Q107" s="3"/>
      <c r="R107" s="3"/>
      <c r="S107" s="2"/>
      <c r="T107" s="3"/>
      <c r="U107" s="5"/>
      <c r="V107" s="5"/>
    </row>
    <row r="108" spans="3:22" x14ac:dyDescent="0.25">
      <c r="C108" s="3"/>
      <c r="D108" s="4"/>
      <c r="E108" s="7"/>
      <c r="F108" s="7"/>
      <c r="G108" s="7"/>
      <c r="H108" s="7"/>
      <c r="J108" s="1"/>
      <c r="L108" s="1"/>
      <c r="M108" s="3"/>
      <c r="N108" s="1"/>
      <c r="O108" s="3"/>
      <c r="P108" s="3"/>
      <c r="Q108" s="3"/>
      <c r="R108" s="3"/>
      <c r="S108" s="2"/>
      <c r="T108" s="3"/>
      <c r="U108" s="5"/>
      <c r="V108" s="5"/>
    </row>
    <row r="109" spans="3:22" x14ac:dyDescent="0.25">
      <c r="C109" s="3"/>
      <c r="D109" s="4"/>
      <c r="E109" s="7"/>
      <c r="F109" s="7"/>
      <c r="G109" s="7"/>
      <c r="H109" s="7"/>
      <c r="J109" s="1"/>
      <c r="L109" s="1"/>
      <c r="M109" s="3"/>
      <c r="N109" s="1"/>
      <c r="O109" s="3"/>
      <c r="P109" s="3"/>
      <c r="Q109" s="3"/>
      <c r="R109" s="3"/>
      <c r="S109" s="2"/>
      <c r="T109" s="3"/>
      <c r="U109" s="5"/>
      <c r="V109" s="5"/>
    </row>
    <row r="110" spans="3:22" x14ac:dyDescent="0.25">
      <c r="C110" s="3"/>
      <c r="D110" s="4"/>
      <c r="E110" s="7"/>
      <c r="F110" s="7"/>
      <c r="G110" s="7"/>
      <c r="H110" s="7"/>
      <c r="J110" s="1"/>
      <c r="L110" s="1"/>
      <c r="M110" s="3"/>
      <c r="N110" s="1"/>
      <c r="O110" s="3"/>
      <c r="P110" s="3"/>
      <c r="Q110" s="3"/>
      <c r="R110" s="3"/>
      <c r="S110" s="2"/>
      <c r="T110" s="3"/>
      <c r="U110" s="5"/>
      <c r="V110" s="5"/>
    </row>
    <row r="111" spans="3:22" x14ac:dyDescent="0.25">
      <c r="C111" s="3"/>
      <c r="D111" s="4"/>
      <c r="E111" s="7"/>
      <c r="F111" s="7"/>
      <c r="G111" s="7"/>
      <c r="H111" s="7"/>
      <c r="J111" s="1"/>
      <c r="L111" s="1"/>
      <c r="M111" s="3"/>
      <c r="N111" s="1"/>
      <c r="O111" s="3"/>
      <c r="P111" s="3"/>
      <c r="Q111" s="3"/>
      <c r="R111" s="3"/>
      <c r="S111" s="2"/>
      <c r="T111" s="3"/>
      <c r="U111" s="5"/>
      <c r="V111" s="5"/>
    </row>
    <row r="112" spans="3:22" x14ac:dyDescent="0.25">
      <c r="C112" s="3"/>
      <c r="D112" s="4"/>
      <c r="E112" s="7"/>
      <c r="F112" s="7"/>
      <c r="G112" s="7"/>
      <c r="H112" s="7"/>
      <c r="J112" s="1"/>
      <c r="L112" s="1"/>
      <c r="M112" s="3"/>
      <c r="N112" s="1"/>
      <c r="O112" s="3"/>
      <c r="P112" s="3"/>
      <c r="Q112" s="3"/>
      <c r="R112" s="3"/>
      <c r="S112" s="2"/>
      <c r="T112" s="3"/>
      <c r="U112" s="5"/>
      <c r="V112" s="5"/>
    </row>
    <row r="113" spans="3:22" x14ac:dyDescent="0.25">
      <c r="C113" s="3"/>
      <c r="D113" s="4"/>
      <c r="E113" s="7"/>
      <c r="F113" s="7"/>
      <c r="G113" s="7"/>
      <c r="H113" s="7"/>
      <c r="J113" s="1"/>
      <c r="L113" s="1"/>
      <c r="M113" s="3"/>
      <c r="N113" s="1"/>
      <c r="O113" s="3"/>
      <c r="P113" s="3"/>
      <c r="Q113" s="3"/>
      <c r="R113" s="3"/>
      <c r="S113" s="2"/>
      <c r="T113" s="3"/>
      <c r="U113" s="5"/>
      <c r="V113" s="5"/>
    </row>
    <row r="114" spans="3:22" x14ac:dyDescent="0.25">
      <c r="C114" s="3"/>
      <c r="D114" s="4"/>
      <c r="E114" s="7"/>
      <c r="F114" s="7"/>
      <c r="G114" s="7"/>
      <c r="H114" s="7"/>
      <c r="J114" s="1"/>
      <c r="L114" s="1"/>
      <c r="M114" s="3"/>
      <c r="N114" s="1"/>
      <c r="O114" s="3"/>
      <c r="P114" s="3"/>
      <c r="Q114" s="3"/>
      <c r="R114" s="3"/>
      <c r="S114" s="2"/>
      <c r="T114" s="3"/>
      <c r="U114" s="5"/>
      <c r="V114" s="5"/>
    </row>
    <row r="115" spans="3:22" x14ac:dyDescent="0.25">
      <c r="C115" s="3"/>
      <c r="D115" s="4"/>
      <c r="E115" s="7"/>
      <c r="F115" s="7"/>
      <c r="G115" s="7"/>
      <c r="H115" s="7"/>
      <c r="J115" s="1"/>
      <c r="L115" s="1"/>
      <c r="M115" s="3"/>
      <c r="N115" s="1"/>
      <c r="O115" s="3"/>
      <c r="P115" s="3"/>
      <c r="Q115" s="3"/>
      <c r="R115" s="3"/>
      <c r="S115" s="2"/>
      <c r="T115" s="3"/>
      <c r="U115" s="5"/>
      <c r="V115" s="5"/>
    </row>
    <row r="116" spans="3:22" x14ac:dyDescent="0.25">
      <c r="C116" s="3"/>
      <c r="D116" s="4"/>
      <c r="E116" s="7"/>
      <c r="F116" s="7"/>
      <c r="G116" s="7"/>
      <c r="H116" s="7"/>
      <c r="J116" s="1"/>
      <c r="L116" s="1"/>
      <c r="M116" s="3"/>
      <c r="N116" s="1"/>
      <c r="O116" s="3"/>
      <c r="P116" s="3"/>
      <c r="Q116" s="3"/>
      <c r="R116" s="3"/>
      <c r="S116" s="2"/>
      <c r="T116" s="3"/>
      <c r="U116" s="5"/>
      <c r="V116" s="5"/>
    </row>
    <row r="117" spans="3:22" x14ac:dyDescent="0.25">
      <c r="C117" s="3"/>
      <c r="D117" s="4"/>
      <c r="E117" s="7"/>
      <c r="F117" s="7"/>
      <c r="G117" s="7"/>
      <c r="H117" s="7"/>
      <c r="J117" s="1"/>
      <c r="L117" s="1"/>
      <c r="M117" s="3"/>
      <c r="N117" s="1"/>
      <c r="O117" s="3"/>
      <c r="P117" s="3"/>
      <c r="Q117" s="3"/>
      <c r="R117" s="3"/>
      <c r="S117" s="2"/>
      <c r="T117" s="3"/>
      <c r="U117" s="5"/>
      <c r="V117" s="5"/>
    </row>
    <row r="118" spans="3:22" x14ac:dyDescent="0.25">
      <c r="C118" s="3"/>
      <c r="D118" s="4"/>
      <c r="E118" s="7"/>
      <c r="F118" s="7"/>
      <c r="G118" s="7"/>
      <c r="H118" s="7"/>
      <c r="J118" s="1"/>
      <c r="L118" s="1"/>
      <c r="M118" s="3"/>
      <c r="N118" s="1"/>
      <c r="O118" s="3"/>
      <c r="P118" s="3"/>
      <c r="Q118" s="3"/>
      <c r="R118" s="3"/>
      <c r="S118" s="2"/>
      <c r="T118" s="3"/>
      <c r="U118" s="5"/>
      <c r="V118" s="5"/>
    </row>
    <row r="119" spans="3:22" x14ac:dyDescent="0.25">
      <c r="C119" s="3"/>
      <c r="D119" s="4"/>
      <c r="E119" s="7"/>
      <c r="F119" s="7"/>
      <c r="G119" s="7"/>
      <c r="H119" s="7"/>
      <c r="J119" s="1"/>
      <c r="L119" s="1"/>
      <c r="M119" s="3"/>
      <c r="N119" s="1"/>
      <c r="O119" s="3"/>
      <c r="P119" s="3"/>
      <c r="Q119" s="3"/>
      <c r="R119" s="3"/>
      <c r="S119" s="2"/>
      <c r="T119" s="3"/>
      <c r="U119" s="5"/>
      <c r="V119" s="5"/>
    </row>
    <row r="120" spans="3:22" x14ac:dyDescent="0.25">
      <c r="C120" s="3"/>
      <c r="D120" s="4"/>
      <c r="E120" s="7"/>
      <c r="F120" s="7"/>
      <c r="G120" s="7"/>
      <c r="H120" s="7"/>
      <c r="J120" s="1"/>
      <c r="L120" s="1"/>
      <c r="M120" s="3"/>
      <c r="N120" s="1"/>
      <c r="O120" s="3"/>
      <c r="P120" s="3"/>
      <c r="Q120" s="3"/>
      <c r="R120" s="3"/>
      <c r="S120" s="2"/>
      <c r="T120" s="3"/>
      <c r="U120" s="5"/>
      <c r="V120" s="5"/>
    </row>
    <row r="121" spans="3:22" x14ac:dyDescent="0.25">
      <c r="C121" s="3"/>
      <c r="D121" s="4"/>
      <c r="E121" s="7"/>
      <c r="F121" s="7"/>
      <c r="G121" s="7"/>
      <c r="H121" s="7"/>
      <c r="J121" s="1"/>
      <c r="L121" s="1"/>
      <c r="M121" s="3"/>
      <c r="N121" s="1"/>
      <c r="O121" s="3"/>
      <c r="P121" s="3"/>
      <c r="Q121" s="3"/>
      <c r="R121" s="3"/>
      <c r="S121" s="2"/>
      <c r="T121" s="3"/>
      <c r="U121" s="5"/>
      <c r="V121" s="5"/>
    </row>
    <row r="122" spans="3:22" x14ac:dyDescent="0.25">
      <c r="C122" s="3"/>
      <c r="D122" s="4"/>
      <c r="E122" s="7"/>
      <c r="F122" s="7"/>
      <c r="G122" s="7"/>
      <c r="H122" s="7"/>
      <c r="J122" s="1"/>
      <c r="L122" s="1"/>
      <c r="M122" s="3"/>
      <c r="N122" s="1"/>
      <c r="O122" s="3"/>
      <c r="P122" s="3"/>
      <c r="Q122" s="3"/>
      <c r="R122" s="3"/>
      <c r="S122" s="2"/>
      <c r="T122" s="3"/>
      <c r="U122" s="5"/>
      <c r="V122" s="5"/>
    </row>
    <row r="123" spans="3:22" x14ac:dyDescent="0.25">
      <c r="C123" s="3"/>
      <c r="D123" s="4"/>
      <c r="E123" s="7"/>
      <c r="F123" s="7"/>
      <c r="G123" s="7"/>
      <c r="H123" s="7"/>
      <c r="J123" s="1"/>
      <c r="L123" s="1"/>
      <c r="M123" s="3"/>
      <c r="N123" s="1"/>
      <c r="O123" s="3"/>
      <c r="P123" s="3"/>
      <c r="Q123" s="3"/>
      <c r="R123" s="3"/>
      <c r="S123" s="2"/>
      <c r="T123" s="3"/>
      <c r="U123" s="5"/>
      <c r="V123" s="5"/>
    </row>
  </sheetData>
  <conditionalFormatting sqref="D73:M7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3">
    <dataValidation type="list" allowBlank="1" showInputMessage="1" showErrorMessage="1" sqref="E3" xr:uid="{EF3E0013-DAC3-4204-B044-657214DEABEC}">
      <formula1>"1, 2, 3"</formula1>
    </dataValidation>
    <dataValidation type="list" allowBlank="1" showInputMessage="1" showErrorMessage="1" sqref="E4" xr:uid="{C10F128E-A061-44A2-A284-6A1A20DBD13B}">
      <formula1>"1, 2, 3, 4"</formula1>
    </dataValidation>
    <dataValidation type="list" allowBlank="1" showInputMessage="1" showErrorMessage="1" sqref="E2" xr:uid="{15010099-988A-4EA7-BA1E-F50F0B0D6D04}">
      <formula1>"1,2,4,6,8"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52452C4-2484-453E-897E-6C9CDE3206A4}">
          <x14:formula1>
            <xm:f>Components!$C$20:$C$29</xm:f>
          </x14:formula1>
          <xm:sqref>B3:B4</xm:sqref>
        </x14:dataValidation>
        <x14:dataValidation type="list" allowBlank="1" showInputMessage="1" showErrorMessage="1" xr:uid="{2CF3648E-83EA-4FF2-9266-AFCA4C0BE6CD}">
          <x14:formula1>
            <xm:f>Components!$C$5:$C$10</xm:f>
          </x14:formula1>
          <xm:sqref>B2</xm:sqref>
        </x14:dataValidation>
        <x14:dataValidation type="list" allowBlank="1" showInputMessage="1" showErrorMessage="1" xr:uid="{9ACFAE65-2B44-46D0-AEBC-C1A92DD8DF67}">
          <x14:formula1>
            <xm:f>'Operating Current'!$B$13:$B$27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664DC-2BB8-48DD-B695-E4C16BBAC2BF}">
  <dimension ref="B3:S13"/>
  <sheetViews>
    <sheetView workbookViewId="0">
      <selection activeCell="J21" sqref="J21"/>
    </sheetView>
  </sheetViews>
  <sheetFormatPr defaultRowHeight="15" x14ac:dyDescent="0.25"/>
  <cols>
    <col min="1" max="1" width="3.7109375" customWidth="1"/>
    <col min="2" max="2" width="14" customWidth="1"/>
    <col min="3" max="3" width="25" customWidth="1"/>
    <col min="4" max="4" width="9.85546875" customWidth="1"/>
    <col min="5" max="5" width="11.7109375" customWidth="1"/>
    <col min="6" max="6" width="14" customWidth="1"/>
    <col min="7" max="7" width="15.7109375" customWidth="1"/>
    <col min="8" max="8" width="16.5703125" customWidth="1"/>
    <col min="9" max="9" width="16" customWidth="1"/>
    <col min="10" max="11" width="14.85546875" customWidth="1"/>
    <col min="12" max="12" width="5" customWidth="1"/>
    <col min="14" max="15" width="18.42578125" customWidth="1"/>
    <col min="16" max="16" width="17.85546875" customWidth="1"/>
    <col min="17" max="17" width="17.28515625" customWidth="1"/>
    <col min="18" max="18" width="18.140625" customWidth="1"/>
    <col min="19" max="19" width="16.28515625" customWidth="1"/>
  </cols>
  <sheetData>
    <row r="3" spans="2:19" x14ac:dyDescent="0.25">
      <c r="B3" t="s">
        <v>86</v>
      </c>
    </row>
    <row r="4" spans="2:19" ht="45" x14ac:dyDescent="0.25">
      <c r="B4" t="s">
        <v>87</v>
      </c>
      <c r="C4" t="s">
        <v>92</v>
      </c>
      <c r="D4" s="6" t="s">
        <v>88</v>
      </c>
      <c r="E4" t="s">
        <v>89</v>
      </c>
      <c r="F4" s="6" t="s">
        <v>100</v>
      </c>
      <c r="G4" s="6" t="s">
        <v>93</v>
      </c>
      <c r="H4" s="6" t="s">
        <v>94</v>
      </c>
      <c r="I4" s="6" t="s">
        <v>95</v>
      </c>
      <c r="J4" s="6" t="s">
        <v>110</v>
      </c>
      <c r="L4" s="6"/>
      <c r="M4" s="11" t="s">
        <v>101</v>
      </c>
      <c r="N4" s="10" t="s">
        <v>112</v>
      </c>
      <c r="O4" s="10" t="s">
        <v>113</v>
      </c>
      <c r="P4" s="10" t="s">
        <v>114</v>
      </c>
      <c r="Q4" s="10"/>
      <c r="R4" s="10"/>
      <c r="S4" s="10"/>
    </row>
    <row r="5" spans="2:19" x14ac:dyDescent="0.25">
      <c r="B5" t="s">
        <v>91</v>
      </c>
      <c r="C5" t="s">
        <v>112</v>
      </c>
      <c r="D5">
        <v>0.82</v>
      </c>
      <c r="E5">
        <v>7.7</v>
      </c>
      <c r="F5">
        <v>8</v>
      </c>
      <c r="G5">
        <v>15</v>
      </c>
      <c r="H5">
        <v>25</v>
      </c>
      <c r="I5">
        <v>31</v>
      </c>
      <c r="J5" s="3">
        <f>-0.000005*(Efficiency!B8)^2+0.0394*(Efficiency!B8)-3.4052</f>
        <v>15.044799999999999</v>
      </c>
      <c r="M5" s="10">
        <v>300</v>
      </c>
      <c r="N5" s="10">
        <v>8</v>
      </c>
      <c r="O5" s="10">
        <v>20</v>
      </c>
      <c r="P5" s="10">
        <v>22</v>
      </c>
      <c r="Q5" s="10"/>
      <c r="R5" s="10"/>
    </row>
    <row r="6" spans="2:19" x14ac:dyDescent="0.25">
      <c r="B6" t="s">
        <v>91</v>
      </c>
      <c r="C6" t="s">
        <v>113</v>
      </c>
      <c r="D6">
        <v>4.7</v>
      </c>
      <c r="E6">
        <v>19.600000000000001</v>
      </c>
      <c r="F6">
        <v>20</v>
      </c>
      <c r="G6">
        <v>33</v>
      </c>
      <c r="H6">
        <v>38</v>
      </c>
      <c r="I6">
        <v>42</v>
      </c>
      <c r="J6" s="3">
        <f>-0.00004*(Efficiency!B8)^2+0.0876*(Efficiency!B8)-1.44</f>
        <v>32.36</v>
      </c>
      <c r="M6" s="10">
        <v>500</v>
      </c>
      <c r="N6" s="10">
        <v>15</v>
      </c>
      <c r="O6" s="10">
        <v>33</v>
      </c>
      <c r="P6" s="10">
        <v>36</v>
      </c>
      <c r="Q6" s="10"/>
      <c r="R6" s="10"/>
    </row>
    <row r="7" spans="2:19" x14ac:dyDescent="0.25">
      <c r="B7" t="s">
        <v>91</v>
      </c>
      <c r="C7" t="s">
        <v>114</v>
      </c>
      <c r="D7">
        <v>5.6</v>
      </c>
      <c r="E7">
        <v>22.6</v>
      </c>
      <c r="F7">
        <f>P5</f>
        <v>22</v>
      </c>
      <c r="G7">
        <f>P6</f>
        <v>36</v>
      </c>
      <c r="H7">
        <f>P7</f>
        <v>47</v>
      </c>
      <c r="I7">
        <f>P8</f>
        <v>54</v>
      </c>
      <c r="J7" s="3">
        <f>-0.00003*(Efficiency!B8)^2+0.09*(Efficiency!B8)-1.3017</f>
        <v>36.198300000000003</v>
      </c>
      <c r="M7" s="10">
        <v>800</v>
      </c>
      <c r="N7" s="10">
        <v>25</v>
      </c>
      <c r="O7" s="10">
        <v>38</v>
      </c>
      <c r="P7" s="10">
        <v>47</v>
      </c>
      <c r="Q7" s="10"/>
      <c r="R7" s="10"/>
    </row>
    <row r="8" spans="2:19" x14ac:dyDescent="0.25">
      <c r="B8" t="s">
        <v>91</v>
      </c>
      <c r="J8" s="3"/>
      <c r="M8" s="10">
        <v>1000</v>
      </c>
      <c r="N8" s="10">
        <v>31</v>
      </c>
      <c r="O8" s="10">
        <v>42</v>
      </c>
      <c r="P8" s="10">
        <v>54</v>
      </c>
      <c r="Q8" s="10"/>
      <c r="R8" s="10"/>
    </row>
    <row r="9" spans="2:19" x14ac:dyDescent="0.25">
      <c r="B9" t="s">
        <v>91</v>
      </c>
      <c r="J9" s="3"/>
      <c r="M9" s="10"/>
      <c r="N9" s="10"/>
      <c r="O9" s="10"/>
      <c r="P9" s="10"/>
      <c r="Q9" s="10"/>
    </row>
    <row r="10" spans="2:19" x14ac:dyDescent="0.25">
      <c r="B10" t="s">
        <v>91</v>
      </c>
      <c r="J10" s="3"/>
      <c r="M10" s="10"/>
      <c r="N10" s="10"/>
      <c r="O10" s="10"/>
      <c r="P10" s="10"/>
      <c r="Q10" s="10"/>
    </row>
    <row r="12" spans="2:19" x14ac:dyDescent="0.25">
      <c r="B12" t="s">
        <v>115</v>
      </c>
    </row>
    <row r="13" spans="2:19" x14ac:dyDescent="0.25">
      <c r="B13" t="s">
        <v>111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E5FD0-9198-43C2-81A2-4D49DE5C9E73}">
  <dimension ref="B5:E27"/>
  <sheetViews>
    <sheetView workbookViewId="0">
      <selection activeCell="M30" sqref="M30"/>
    </sheetView>
  </sheetViews>
  <sheetFormatPr defaultRowHeight="15" x14ac:dyDescent="0.25"/>
  <cols>
    <col min="2" max="2" width="10.5703125" customWidth="1"/>
    <col min="3" max="5" width="12.140625" customWidth="1"/>
  </cols>
  <sheetData>
    <row r="5" spans="2:5" x14ac:dyDescent="0.25">
      <c r="B5" s="18"/>
      <c r="C5" s="26" t="s">
        <v>121</v>
      </c>
      <c r="D5" s="27"/>
      <c r="E5" s="28"/>
    </row>
    <row r="6" spans="2:5" x14ac:dyDescent="0.25">
      <c r="B6" s="18" t="s">
        <v>120</v>
      </c>
      <c r="C6" s="18" t="s">
        <v>122</v>
      </c>
      <c r="D6" s="18" t="s">
        <v>123</v>
      </c>
      <c r="E6" s="18" t="s">
        <v>124</v>
      </c>
    </row>
    <row r="7" spans="2:5" x14ac:dyDescent="0.25">
      <c r="B7" s="18">
        <v>300</v>
      </c>
      <c r="C7" s="18">
        <v>7</v>
      </c>
      <c r="D7" s="18">
        <v>19</v>
      </c>
      <c r="E7" s="18">
        <v>22</v>
      </c>
    </row>
    <row r="8" spans="2:5" x14ac:dyDescent="0.25">
      <c r="B8" s="18">
        <v>500</v>
      </c>
      <c r="C8" s="18">
        <v>10.5</v>
      </c>
      <c r="D8" s="18">
        <v>33</v>
      </c>
      <c r="E8" s="18">
        <v>35</v>
      </c>
    </row>
    <row r="9" spans="2:5" x14ac:dyDescent="0.25">
      <c r="B9" s="18">
        <v>1000</v>
      </c>
      <c r="C9" s="18">
        <v>20</v>
      </c>
      <c r="D9" s="18">
        <v>52</v>
      </c>
      <c r="E9" s="18">
        <v>62</v>
      </c>
    </row>
    <row r="11" spans="2:5" x14ac:dyDescent="0.25">
      <c r="C11" s="26" t="s">
        <v>121</v>
      </c>
      <c r="D11" s="27"/>
      <c r="E11" s="28"/>
    </row>
    <row r="12" spans="2:5" x14ac:dyDescent="0.25">
      <c r="C12" s="21" t="s">
        <v>122</v>
      </c>
      <c r="D12" s="21" t="s">
        <v>123</v>
      </c>
      <c r="E12" s="21" t="s">
        <v>124</v>
      </c>
    </row>
    <row r="13" spans="2:5" x14ac:dyDescent="0.25">
      <c r="B13" s="18">
        <v>300</v>
      </c>
      <c r="C13" s="22">
        <f>0.0187*B13+1.3077</f>
        <v>6.9177</v>
      </c>
      <c r="D13" s="22">
        <f>27.409*LN(B13)-137.34</f>
        <v>18.99497384785181</v>
      </c>
      <c r="E13" s="22">
        <f>0.0565*B13+5.7436</f>
        <v>22.6936</v>
      </c>
    </row>
    <row r="14" spans="2:5" x14ac:dyDescent="0.25">
      <c r="B14" s="18">
        <v>350</v>
      </c>
      <c r="C14" s="22">
        <f t="shared" ref="C14:C27" si="0">0.0187*B14+1.3077</f>
        <v>7.8527000000000005</v>
      </c>
      <c r="D14" s="22">
        <f t="shared" ref="D14:D27" si="1">27.409*LN(B14)-137.34</f>
        <v>23.220089831237118</v>
      </c>
      <c r="E14" s="22">
        <f t="shared" ref="E14:E27" si="2">0.0565*B14+5.7436</f>
        <v>25.518600000000003</v>
      </c>
    </row>
    <row r="15" spans="2:5" x14ac:dyDescent="0.25">
      <c r="B15" s="18">
        <v>400</v>
      </c>
      <c r="C15" s="22">
        <f t="shared" si="0"/>
        <v>8.787700000000001</v>
      </c>
      <c r="D15" s="22">
        <f t="shared" si="1"/>
        <v>26.880051771682673</v>
      </c>
      <c r="E15" s="22">
        <f t="shared" si="2"/>
        <v>28.343600000000002</v>
      </c>
    </row>
    <row r="16" spans="2:5" x14ac:dyDescent="0.25">
      <c r="B16" s="18">
        <v>450</v>
      </c>
      <c r="C16" s="22">
        <f t="shared" si="0"/>
        <v>9.7227000000000015</v>
      </c>
      <c r="D16" s="22">
        <f t="shared" si="1"/>
        <v>30.10836699598849</v>
      </c>
      <c r="E16" s="22">
        <f t="shared" si="2"/>
        <v>31.168600000000001</v>
      </c>
    </row>
    <row r="17" spans="2:5" x14ac:dyDescent="0.25">
      <c r="B17" s="18">
        <v>500</v>
      </c>
      <c r="C17" s="22">
        <f t="shared" si="0"/>
        <v>10.657700000000002</v>
      </c>
      <c r="D17" s="22">
        <f t="shared" si="1"/>
        <v>32.996193369653838</v>
      </c>
      <c r="E17" s="22">
        <f t="shared" si="2"/>
        <v>33.993600000000001</v>
      </c>
    </row>
    <row r="18" spans="2:5" x14ac:dyDescent="0.25">
      <c r="B18" s="18">
        <v>550</v>
      </c>
      <c r="C18" s="22">
        <f t="shared" si="0"/>
        <v>11.592700000000001</v>
      </c>
      <c r="D18" s="22">
        <f t="shared" si="1"/>
        <v>35.608550087910572</v>
      </c>
      <c r="E18" s="22">
        <f t="shared" si="2"/>
        <v>36.818599999999996</v>
      </c>
    </row>
    <row r="19" spans="2:5" x14ac:dyDescent="0.25">
      <c r="B19" s="18">
        <v>600</v>
      </c>
      <c r="C19" s="22">
        <f t="shared" si="0"/>
        <v>12.527700000000001</v>
      </c>
      <c r="D19" s="22">
        <f t="shared" si="1"/>
        <v>37.993444919819353</v>
      </c>
      <c r="E19" s="22">
        <f t="shared" si="2"/>
        <v>39.643599999999999</v>
      </c>
    </row>
    <row r="20" spans="2:5" x14ac:dyDescent="0.25">
      <c r="B20" s="18">
        <v>650</v>
      </c>
      <c r="C20" s="22">
        <f t="shared" si="0"/>
        <v>13.462700000000002</v>
      </c>
      <c r="D20" s="22">
        <f t="shared" si="1"/>
        <v>40.187335494443289</v>
      </c>
      <c r="E20" s="22">
        <f t="shared" si="2"/>
        <v>42.468600000000002</v>
      </c>
    </row>
    <row r="21" spans="2:5" x14ac:dyDescent="0.25">
      <c r="B21" s="18">
        <v>700</v>
      </c>
      <c r="C21" s="22">
        <f t="shared" si="0"/>
        <v>14.397700000000002</v>
      </c>
      <c r="D21" s="22">
        <f t="shared" si="1"/>
        <v>42.218560903204661</v>
      </c>
      <c r="E21" s="22">
        <f t="shared" si="2"/>
        <v>45.293600000000005</v>
      </c>
    </row>
    <row r="22" spans="2:5" x14ac:dyDescent="0.25">
      <c r="B22" s="18">
        <v>750</v>
      </c>
      <c r="C22" s="22">
        <f t="shared" si="0"/>
        <v>15.332700000000001</v>
      </c>
      <c r="D22" s="22">
        <f t="shared" si="1"/>
        <v>44.109586517790518</v>
      </c>
      <c r="E22" s="22">
        <f t="shared" si="2"/>
        <v>48.118600000000001</v>
      </c>
    </row>
    <row r="23" spans="2:5" x14ac:dyDescent="0.25">
      <c r="B23" s="18">
        <v>800</v>
      </c>
      <c r="C23" s="22">
        <f t="shared" si="0"/>
        <v>16.267700000000001</v>
      </c>
      <c r="D23" s="22">
        <f t="shared" si="1"/>
        <v>45.878522843650217</v>
      </c>
      <c r="E23" s="22">
        <f t="shared" si="2"/>
        <v>50.943600000000004</v>
      </c>
    </row>
    <row r="24" spans="2:5" x14ac:dyDescent="0.25">
      <c r="B24" s="18">
        <v>850</v>
      </c>
      <c r="C24" s="22">
        <f t="shared" si="0"/>
        <v>17.2027</v>
      </c>
      <c r="D24" s="22">
        <f t="shared" si="1"/>
        <v>47.540183103016886</v>
      </c>
      <c r="E24" s="22">
        <f t="shared" si="2"/>
        <v>53.768599999999999</v>
      </c>
    </row>
    <row r="25" spans="2:5" x14ac:dyDescent="0.25">
      <c r="B25" s="18">
        <v>900</v>
      </c>
      <c r="C25" s="22">
        <f t="shared" si="0"/>
        <v>18.137700000000002</v>
      </c>
      <c r="D25" s="22">
        <f t="shared" si="1"/>
        <v>49.106838067956033</v>
      </c>
      <c r="E25" s="22">
        <f t="shared" si="2"/>
        <v>56.593600000000002</v>
      </c>
    </row>
    <row r="26" spans="2:5" x14ac:dyDescent="0.25">
      <c r="B26" s="18">
        <v>950</v>
      </c>
      <c r="C26" s="22">
        <f t="shared" si="0"/>
        <v>19.072700000000001</v>
      </c>
      <c r="D26" s="22">
        <f t="shared" si="1"/>
        <v>50.588766535753024</v>
      </c>
      <c r="E26" s="22">
        <f t="shared" si="2"/>
        <v>59.418600000000005</v>
      </c>
    </row>
    <row r="27" spans="2:5" x14ac:dyDescent="0.25">
      <c r="B27" s="18">
        <v>1000</v>
      </c>
      <c r="C27" s="22">
        <f t="shared" si="0"/>
        <v>20.007700000000003</v>
      </c>
      <c r="D27" s="22">
        <f t="shared" si="1"/>
        <v>51.994664441621381</v>
      </c>
      <c r="E27" s="22">
        <f t="shared" si="2"/>
        <v>62.243600000000001</v>
      </c>
    </row>
  </sheetData>
  <mergeCells count="2">
    <mergeCell ref="C11:E11"/>
    <mergeCell ref="C5:E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D2BE-DC9C-4A03-976C-63C555E62F4E}">
  <dimension ref="B2:D3"/>
  <sheetViews>
    <sheetView workbookViewId="0">
      <selection activeCell="C4" sqref="C4"/>
    </sheetView>
  </sheetViews>
  <sheetFormatPr defaultRowHeight="15" x14ac:dyDescent="0.25"/>
  <cols>
    <col min="3" max="3" width="12.7109375" customWidth="1"/>
    <col min="4" max="4" width="26.42578125" customWidth="1"/>
  </cols>
  <sheetData>
    <row r="2" spans="2:4" x14ac:dyDescent="0.25">
      <c r="B2" s="18" t="s">
        <v>116</v>
      </c>
      <c r="C2" s="18" t="s">
        <v>117</v>
      </c>
      <c r="D2" s="19" t="s">
        <v>118</v>
      </c>
    </row>
    <row r="3" spans="2:4" ht="30" x14ac:dyDescent="0.25">
      <c r="B3" s="18">
        <v>0.1</v>
      </c>
      <c r="C3" s="20">
        <v>45513</v>
      </c>
      <c r="D3" s="19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Reference</vt:lpstr>
      <vt:lpstr>Efficiency</vt:lpstr>
      <vt:lpstr>Components</vt:lpstr>
      <vt:lpstr>Operating Current</vt:lpstr>
      <vt:lpstr>Rev History</vt:lpstr>
    </vt:vector>
  </TitlesOfParts>
  <Company>Renesas Electronics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Lok</dc:creator>
  <cp:lastModifiedBy>Tim Lok</cp:lastModifiedBy>
  <dcterms:created xsi:type="dcterms:W3CDTF">2020-01-07T21:05:55Z</dcterms:created>
  <dcterms:modified xsi:type="dcterms:W3CDTF">2024-08-12T00:46:41Z</dcterms:modified>
</cp:coreProperties>
</file>