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4.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filterPrivacy="1" codeName="ThisWorkbook" defaultThemeVersion="166925"/>
  <xr:revisionPtr revIDLastSave="0" documentId="13_ncr:1_{C6FD4753-C43C-465A-ACC4-8BA0CF76FBC3}" xr6:coauthVersionLast="47" xr6:coauthVersionMax="47" xr10:uidLastSave="{00000000-0000-0000-0000-000000000000}"/>
  <bookViews>
    <workbookView xWindow="22932" yWindow="-72" windowWidth="23256" windowHeight="12576" tabRatio="689" xr2:uid="{2D41EA0A-CABF-4794-944F-AF3A9B161394}"/>
  </bookViews>
  <sheets>
    <sheet name="Main" sheetId="1" r:id="rId1"/>
    <sheet name="COUT Network Design" sheetId="3" r:id="rId2"/>
    <sheet name="CIN Network Design" sheetId="4" r:id="rId3"/>
    <sheet name="BOM" sheetId="9" r:id="rId4"/>
    <sheet name="DS Parameters" sheetId="5" r:id="rId5"/>
    <sheet name="Capacitor Impedance" sheetId="7" r:id="rId6"/>
    <sheet name="Common Resistor Values" sheetId="2" r:id="rId7"/>
    <sheet name="Common Capacitor Values" sheetId="6" r:id="rId8"/>
    <sheet name="Revision History" sheetId="8" r:id="rId9"/>
  </sheets>
  <definedNames>
    <definedName name="CCOMP_MIN">#REF!</definedName>
    <definedName name="CDROOP">#REF!</definedName>
    <definedName name="COUT_MIN">#REF!</definedName>
    <definedName name="COUT_QTY">#REF!</definedName>
    <definedName name="COUT_ZERO">#REF!</definedName>
    <definedName name="CPOLE_MIN">#REF!</definedName>
    <definedName name="ESR_EQUIV">#REF!</definedName>
    <definedName name="ft">#REF!</definedName>
    <definedName name="RCOMP">#REF!</definedName>
    <definedName name="RDROOP">#REF!</definedName>
    <definedName name="Ripple_percent">#REF!</definedName>
    <definedName name="RSEN">#REF!</definedName>
    <definedName name="RSLOP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22" i="1" l="1"/>
  <c r="G34" i="1"/>
  <c r="G33" i="1"/>
  <c r="G30" i="1"/>
  <c r="G28" i="1"/>
  <c r="C20" i="1"/>
  <c r="C4" i="9"/>
  <c r="E13" i="9"/>
  <c r="E9" i="9"/>
  <c r="E8" i="9"/>
  <c r="E14" i="9"/>
  <c r="D14" i="9"/>
  <c r="D13" i="9"/>
  <c r="D12" i="9"/>
  <c r="D11" i="9"/>
  <c r="C31" i="3"/>
  <c r="C35" i="3"/>
  <c r="G13" i="1"/>
  <c r="G14" i="1"/>
  <c r="G24" i="1" s="1"/>
  <c r="H2" i="1" l="1"/>
  <c r="C10" i="9"/>
  <c r="D10" i="9"/>
  <c r="D9" i="9"/>
  <c r="D8" i="9"/>
  <c r="D7" i="9"/>
  <c r="C6" i="9"/>
  <c r="C7" i="9"/>
  <c r="D6" i="9"/>
  <c r="C5" i="9"/>
  <c r="D5" i="9"/>
  <c r="D4" i="9"/>
  <c r="D3" i="9"/>
  <c r="C31" i="1" l="1"/>
  <c r="G41" i="1" s="1"/>
  <c r="G42" i="1" s="1"/>
  <c r="C14" i="9" s="1"/>
  <c r="G16" i="1"/>
  <c r="G21" i="9"/>
  <c r="G20" i="9"/>
  <c r="F20" i="9"/>
  <c r="E20" i="9"/>
  <c r="D20" i="9"/>
  <c r="C20" i="9"/>
  <c r="G19" i="9"/>
  <c r="F19" i="9"/>
  <c r="E19" i="9"/>
  <c r="D19" i="9"/>
  <c r="C19" i="9"/>
  <c r="G18" i="9"/>
  <c r="F18" i="9"/>
  <c r="E18" i="9"/>
  <c r="D18" i="9"/>
  <c r="C18" i="9"/>
  <c r="G17" i="9"/>
  <c r="F17" i="9"/>
  <c r="E17" i="9"/>
  <c r="D17" i="9"/>
  <c r="C17" i="9"/>
  <c r="E28" i="9"/>
  <c r="D28" i="9"/>
  <c r="C28" i="9"/>
  <c r="E26" i="9"/>
  <c r="D26" i="9"/>
  <c r="C26" i="9"/>
  <c r="E25" i="9"/>
  <c r="D25" i="9"/>
  <c r="C25" i="9"/>
  <c r="E24" i="9"/>
  <c r="D24" i="9"/>
  <c r="C24" i="9"/>
  <c r="E7" i="9"/>
  <c r="E6" i="9"/>
  <c r="AG30" i="4"/>
  <c r="AG31" i="4"/>
  <c r="AG32" i="4"/>
  <c r="AG33" i="4"/>
  <c r="AG34" i="4"/>
  <c r="AG35" i="4"/>
  <c r="AG36" i="4"/>
  <c r="AG37" i="4"/>
  <c r="AG38" i="4"/>
  <c r="AG39" i="4"/>
  <c r="AG40" i="4"/>
  <c r="AG41" i="4"/>
  <c r="AG42" i="4"/>
  <c r="AG43" i="4"/>
  <c r="AG44" i="4"/>
  <c r="AG45" i="4"/>
  <c r="AG46" i="4"/>
  <c r="AG47" i="4"/>
  <c r="AG48" i="4"/>
  <c r="AG49" i="4"/>
  <c r="AG50" i="4"/>
  <c r="AG51" i="4"/>
  <c r="AG52" i="4"/>
  <c r="AG53" i="4"/>
  <c r="AG54" i="4"/>
  <c r="AG55" i="4"/>
  <c r="AG56" i="4"/>
  <c r="AG57" i="4"/>
  <c r="AG58" i="4"/>
  <c r="AG59" i="4"/>
  <c r="AG60" i="4"/>
  <c r="AG61" i="4"/>
  <c r="AG62" i="4"/>
  <c r="AG63" i="4"/>
  <c r="AG64" i="4"/>
  <c r="AG65" i="4"/>
  <c r="AG66" i="4"/>
  <c r="AG67" i="4"/>
  <c r="AG68" i="4"/>
  <c r="AG69" i="4"/>
  <c r="AG70" i="4"/>
  <c r="AG71" i="4"/>
  <c r="AG72" i="4"/>
  <c r="AG73" i="4"/>
  <c r="AG74" i="4"/>
  <c r="AG75" i="4"/>
  <c r="AG76" i="4"/>
  <c r="AG77" i="4"/>
  <c r="AG78" i="4"/>
  <c r="AG79" i="4"/>
  <c r="AG80" i="4"/>
  <c r="AG81" i="4"/>
  <c r="AG82" i="4"/>
  <c r="AG83" i="4"/>
  <c r="AG84" i="4"/>
  <c r="AG85" i="4"/>
  <c r="AG86" i="4"/>
  <c r="AG87" i="4"/>
  <c r="AG88" i="4"/>
  <c r="AG89" i="4"/>
  <c r="AG90" i="4"/>
  <c r="AG91" i="4"/>
  <c r="AG92" i="4"/>
  <c r="AG93" i="4"/>
  <c r="AG94" i="4"/>
  <c r="AG95" i="4"/>
  <c r="AG96" i="4"/>
  <c r="AG97" i="4"/>
  <c r="AG98" i="4"/>
  <c r="AG99" i="4"/>
  <c r="AG100" i="4"/>
  <c r="AG101" i="4"/>
  <c r="AG102" i="4"/>
  <c r="AG103" i="4"/>
  <c r="AG104" i="4"/>
  <c r="AG105" i="4"/>
  <c r="AG106" i="4"/>
  <c r="AG107" i="4"/>
  <c r="AG108" i="4"/>
  <c r="AG109" i="4"/>
  <c r="AG110" i="4"/>
  <c r="AG111" i="4"/>
  <c r="AG112" i="4"/>
  <c r="AG113" i="4"/>
  <c r="AG114" i="4"/>
  <c r="AG115" i="4"/>
  <c r="AG116" i="4"/>
  <c r="AG117" i="4"/>
  <c r="AG118" i="4"/>
  <c r="AG119" i="4"/>
  <c r="AG120" i="4"/>
  <c r="AG121" i="4"/>
  <c r="AG122" i="4"/>
  <c r="AG123" i="4"/>
  <c r="AG124" i="4"/>
  <c r="AG125" i="4"/>
  <c r="AG126" i="4"/>
  <c r="AG127" i="4"/>
  <c r="AG128" i="4"/>
  <c r="AG129" i="4"/>
  <c r="AG130" i="4"/>
  <c r="AG131" i="4"/>
  <c r="AG132" i="4"/>
  <c r="AG133" i="4"/>
  <c r="AG134" i="4"/>
  <c r="AG135" i="4"/>
  <c r="AG136" i="4"/>
  <c r="AG137" i="4"/>
  <c r="AG138" i="4"/>
  <c r="AG139" i="4"/>
  <c r="AG140" i="4"/>
  <c r="AG141" i="4"/>
  <c r="AG142" i="4"/>
  <c r="AG143" i="4"/>
  <c r="AG144" i="4"/>
  <c r="AG145" i="4"/>
  <c r="AG146" i="4"/>
  <c r="AG147" i="4"/>
  <c r="AG148" i="4"/>
  <c r="AG149" i="4"/>
  <c r="AG150" i="4"/>
  <c r="AG151" i="4"/>
  <c r="AG152" i="4"/>
  <c r="AG153" i="4"/>
  <c r="AG154" i="4"/>
  <c r="AG155" i="4"/>
  <c r="AG156" i="4"/>
  <c r="AG157" i="4"/>
  <c r="AG158" i="4"/>
  <c r="AG159" i="4"/>
  <c r="AG160" i="4"/>
  <c r="AG161" i="4"/>
  <c r="AG162" i="4"/>
  <c r="AG163" i="4"/>
  <c r="AG164" i="4"/>
  <c r="AG165" i="4"/>
  <c r="AG166" i="4"/>
  <c r="AG167" i="4"/>
  <c r="AG168" i="4"/>
  <c r="AG169" i="4"/>
  <c r="AG170" i="4"/>
  <c r="AG171" i="4"/>
  <c r="AG172" i="4"/>
  <c r="AG173" i="4"/>
  <c r="AG174" i="4"/>
  <c r="AG175" i="4"/>
  <c r="AG176" i="4"/>
  <c r="AG177" i="4"/>
  <c r="AG178" i="4"/>
  <c r="AG179" i="4"/>
  <c r="AG180" i="4"/>
  <c r="AG181" i="4"/>
  <c r="AG182" i="4"/>
  <c r="AG29" i="4"/>
  <c r="AF29" i="4"/>
  <c r="AE30" i="4"/>
  <c r="AE31" i="4"/>
  <c r="AE32" i="4"/>
  <c r="AE33" i="4"/>
  <c r="AE34" i="4"/>
  <c r="AE35" i="4"/>
  <c r="AE36" i="4"/>
  <c r="AE37" i="4"/>
  <c r="AE38" i="4"/>
  <c r="AE39" i="4"/>
  <c r="AE40" i="4"/>
  <c r="AE41" i="4"/>
  <c r="AE42" i="4"/>
  <c r="AE43" i="4"/>
  <c r="AE44" i="4"/>
  <c r="AE45" i="4"/>
  <c r="AE46" i="4"/>
  <c r="AE47" i="4"/>
  <c r="AE48" i="4"/>
  <c r="AE49" i="4"/>
  <c r="AE50" i="4"/>
  <c r="AE51" i="4"/>
  <c r="AE52" i="4"/>
  <c r="AE53" i="4"/>
  <c r="AE54" i="4"/>
  <c r="AE55" i="4"/>
  <c r="AE56" i="4"/>
  <c r="AE57" i="4"/>
  <c r="AE58" i="4"/>
  <c r="AE59" i="4"/>
  <c r="AE60" i="4"/>
  <c r="AE61" i="4"/>
  <c r="AE62" i="4"/>
  <c r="AE63" i="4"/>
  <c r="AE64" i="4"/>
  <c r="AE65" i="4"/>
  <c r="AE66" i="4"/>
  <c r="AE67" i="4"/>
  <c r="AE68" i="4"/>
  <c r="AE69" i="4"/>
  <c r="AE70" i="4"/>
  <c r="AE71" i="4"/>
  <c r="AE72" i="4"/>
  <c r="AE73" i="4"/>
  <c r="AE74" i="4"/>
  <c r="AE75" i="4"/>
  <c r="AE76" i="4"/>
  <c r="AE77" i="4"/>
  <c r="AE78" i="4"/>
  <c r="AE79" i="4"/>
  <c r="AE80" i="4"/>
  <c r="AE81" i="4"/>
  <c r="AE82" i="4"/>
  <c r="AE83" i="4"/>
  <c r="AE84" i="4"/>
  <c r="AE85" i="4"/>
  <c r="AE86" i="4"/>
  <c r="AE87" i="4"/>
  <c r="AE88" i="4"/>
  <c r="AE89" i="4"/>
  <c r="AE90" i="4"/>
  <c r="AE91" i="4"/>
  <c r="AE92" i="4"/>
  <c r="AE93" i="4"/>
  <c r="AE94" i="4"/>
  <c r="AE95" i="4"/>
  <c r="AE96" i="4"/>
  <c r="AE97" i="4"/>
  <c r="AE98" i="4"/>
  <c r="AE99" i="4"/>
  <c r="AE100" i="4"/>
  <c r="AE101" i="4"/>
  <c r="AE102" i="4"/>
  <c r="AE103" i="4"/>
  <c r="AE104" i="4"/>
  <c r="AE105" i="4"/>
  <c r="AE106" i="4"/>
  <c r="AE107" i="4"/>
  <c r="AE108" i="4"/>
  <c r="AE109" i="4"/>
  <c r="AE110" i="4"/>
  <c r="AE111" i="4"/>
  <c r="AE112" i="4"/>
  <c r="AE113" i="4"/>
  <c r="AE114" i="4"/>
  <c r="AE115" i="4"/>
  <c r="AE116" i="4"/>
  <c r="AE117" i="4"/>
  <c r="AE118" i="4"/>
  <c r="AE119" i="4"/>
  <c r="AE120" i="4"/>
  <c r="AE121" i="4"/>
  <c r="AE122" i="4"/>
  <c r="AE123" i="4"/>
  <c r="AE124" i="4"/>
  <c r="AE125" i="4"/>
  <c r="AE126" i="4"/>
  <c r="AE127" i="4"/>
  <c r="AE128" i="4"/>
  <c r="AE129" i="4"/>
  <c r="AE130" i="4"/>
  <c r="AE131" i="4"/>
  <c r="AE132" i="4"/>
  <c r="AE133" i="4"/>
  <c r="AE134" i="4"/>
  <c r="AE135" i="4"/>
  <c r="AE136" i="4"/>
  <c r="AE137" i="4"/>
  <c r="AE138" i="4"/>
  <c r="AE139" i="4"/>
  <c r="AE140" i="4"/>
  <c r="AE141" i="4"/>
  <c r="AE142" i="4"/>
  <c r="AE143" i="4"/>
  <c r="AE144" i="4"/>
  <c r="AE145" i="4"/>
  <c r="AE146" i="4"/>
  <c r="AE147" i="4"/>
  <c r="AE148" i="4"/>
  <c r="AE149" i="4"/>
  <c r="AE150" i="4"/>
  <c r="AE151" i="4"/>
  <c r="AE152" i="4"/>
  <c r="AE153" i="4"/>
  <c r="AE154" i="4"/>
  <c r="AE155" i="4"/>
  <c r="AE156" i="4"/>
  <c r="AE157" i="4"/>
  <c r="AE158" i="4"/>
  <c r="AE159" i="4"/>
  <c r="AE160" i="4"/>
  <c r="AE161" i="4"/>
  <c r="AE162" i="4"/>
  <c r="AE163" i="4"/>
  <c r="AE164" i="4"/>
  <c r="AE165" i="4"/>
  <c r="AE166" i="4"/>
  <c r="AE167" i="4"/>
  <c r="AE168" i="4"/>
  <c r="AE169" i="4"/>
  <c r="AE170" i="4"/>
  <c r="AE171" i="4"/>
  <c r="AE172" i="4"/>
  <c r="AE173" i="4"/>
  <c r="AE174" i="4"/>
  <c r="AE175" i="4"/>
  <c r="AE176" i="4"/>
  <c r="AE177" i="4"/>
  <c r="AE178" i="4"/>
  <c r="AE179" i="4"/>
  <c r="AE180" i="4"/>
  <c r="AE181" i="4"/>
  <c r="AE182" i="4"/>
  <c r="AE29" i="4"/>
  <c r="AQ30" i="4"/>
  <c r="AQ31" i="4"/>
  <c r="AQ32" i="4"/>
  <c r="AQ33" i="4"/>
  <c r="AQ34" i="4"/>
  <c r="AQ35" i="4"/>
  <c r="AQ36" i="4"/>
  <c r="AQ37" i="4"/>
  <c r="AQ38" i="4"/>
  <c r="AQ39" i="4"/>
  <c r="AQ40" i="4"/>
  <c r="AQ41" i="4"/>
  <c r="AQ42" i="4"/>
  <c r="AQ43" i="4"/>
  <c r="AQ44" i="4"/>
  <c r="AQ45" i="4"/>
  <c r="AQ46" i="4"/>
  <c r="AQ47" i="4"/>
  <c r="AQ48" i="4"/>
  <c r="AQ49" i="4"/>
  <c r="AQ50" i="4"/>
  <c r="AQ51" i="4"/>
  <c r="AQ52" i="4"/>
  <c r="AQ53" i="4"/>
  <c r="AQ54" i="4"/>
  <c r="AQ55" i="4"/>
  <c r="AQ56" i="4"/>
  <c r="AQ57" i="4"/>
  <c r="AQ58" i="4"/>
  <c r="AQ59" i="4"/>
  <c r="AQ60" i="4"/>
  <c r="AQ61" i="4"/>
  <c r="AQ62" i="4"/>
  <c r="AQ63" i="4"/>
  <c r="AQ64" i="4"/>
  <c r="AQ65" i="4"/>
  <c r="AQ66" i="4"/>
  <c r="AQ67" i="4"/>
  <c r="AQ68" i="4"/>
  <c r="AQ69" i="4"/>
  <c r="AQ70" i="4"/>
  <c r="AQ71" i="4"/>
  <c r="AQ72" i="4"/>
  <c r="AQ73" i="4"/>
  <c r="AQ74" i="4"/>
  <c r="AQ75" i="4"/>
  <c r="AQ76" i="4"/>
  <c r="AQ77" i="4"/>
  <c r="AQ78" i="4"/>
  <c r="AQ79" i="4"/>
  <c r="AQ80" i="4"/>
  <c r="AQ81" i="4"/>
  <c r="AQ82" i="4"/>
  <c r="AQ83" i="4"/>
  <c r="AQ84" i="4"/>
  <c r="AQ85" i="4"/>
  <c r="AQ86" i="4"/>
  <c r="AQ87" i="4"/>
  <c r="AQ88" i="4"/>
  <c r="AQ89" i="4"/>
  <c r="AQ90" i="4"/>
  <c r="AQ91" i="4"/>
  <c r="AQ92" i="4"/>
  <c r="AQ93" i="4"/>
  <c r="AQ94" i="4"/>
  <c r="AQ95" i="4"/>
  <c r="AQ96" i="4"/>
  <c r="AQ97" i="4"/>
  <c r="AQ98" i="4"/>
  <c r="AQ99" i="4"/>
  <c r="AQ100" i="4"/>
  <c r="AQ101" i="4"/>
  <c r="AQ102" i="4"/>
  <c r="AQ103" i="4"/>
  <c r="AQ104" i="4"/>
  <c r="AQ105" i="4"/>
  <c r="AQ106" i="4"/>
  <c r="AQ107" i="4"/>
  <c r="AQ108" i="4"/>
  <c r="AQ109" i="4"/>
  <c r="AQ110" i="4"/>
  <c r="AQ111" i="4"/>
  <c r="AQ112" i="4"/>
  <c r="AQ113" i="4"/>
  <c r="AQ114" i="4"/>
  <c r="AQ115" i="4"/>
  <c r="AQ116" i="4"/>
  <c r="AQ117" i="4"/>
  <c r="AQ118" i="4"/>
  <c r="AQ119" i="4"/>
  <c r="AQ120" i="4"/>
  <c r="AQ121" i="4"/>
  <c r="AQ122" i="4"/>
  <c r="AQ123" i="4"/>
  <c r="AQ124" i="4"/>
  <c r="AQ125" i="4"/>
  <c r="AQ126" i="4"/>
  <c r="AQ127" i="4"/>
  <c r="AQ128" i="4"/>
  <c r="AQ129" i="4"/>
  <c r="AQ130" i="4"/>
  <c r="AQ131" i="4"/>
  <c r="AQ132" i="4"/>
  <c r="AQ133" i="4"/>
  <c r="AQ134" i="4"/>
  <c r="AQ135" i="4"/>
  <c r="AQ136" i="4"/>
  <c r="AQ137" i="4"/>
  <c r="AQ138" i="4"/>
  <c r="AQ139" i="4"/>
  <c r="AQ140" i="4"/>
  <c r="AQ141" i="4"/>
  <c r="AQ142" i="4"/>
  <c r="AQ143" i="4"/>
  <c r="AQ144" i="4"/>
  <c r="AQ145" i="4"/>
  <c r="AQ146" i="4"/>
  <c r="AQ147" i="4"/>
  <c r="AQ148" i="4"/>
  <c r="AQ149" i="4"/>
  <c r="AQ150" i="4"/>
  <c r="AQ151" i="4"/>
  <c r="AQ152" i="4"/>
  <c r="AQ153" i="4"/>
  <c r="AQ154" i="4"/>
  <c r="AQ155" i="4"/>
  <c r="AQ156" i="4"/>
  <c r="AQ157" i="4"/>
  <c r="AQ158" i="4"/>
  <c r="AQ159" i="4"/>
  <c r="AQ160" i="4"/>
  <c r="AQ161" i="4"/>
  <c r="AQ162" i="4"/>
  <c r="AQ163" i="4"/>
  <c r="AQ164" i="4"/>
  <c r="AQ165" i="4"/>
  <c r="AQ166" i="4"/>
  <c r="AQ167" i="4"/>
  <c r="AQ168" i="4"/>
  <c r="AQ169" i="4"/>
  <c r="AQ170" i="4"/>
  <c r="AQ171" i="4"/>
  <c r="AQ172" i="4"/>
  <c r="AQ173" i="4"/>
  <c r="AQ174" i="4"/>
  <c r="AQ175" i="4"/>
  <c r="AQ176" i="4"/>
  <c r="AQ177" i="4"/>
  <c r="AQ178" i="4"/>
  <c r="AQ179" i="4"/>
  <c r="AQ180" i="4"/>
  <c r="AQ181" i="4"/>
  <c r="AQ182" i="4"/>
  <c r="AQ29" i="4"/>
  <c r="AP30" i="4"/>
  <c r="AP31" i="4"/>
  <c r="AP32" i="4"/>
  <c r="AP33" i="4"/>
  <c r="AP34" i="4"/>
  <c r="AP35" i="4"/>
  <c r="AP36" i="4"/>
  <c r="AP37" i="4"/>
  <c r="AP38" i="4"/>
  <c r="AP39" i="4"/>
  <c r="AP40" i="4"/>
  <c r="AP41" i="4"/>
  <c r="AP42" i="4"/>
  <c r="AP43" i="4"/>
  <c r="AP44" i="4"/>
  <c r="AP45" i="4"/>
  <c r="AP46" i="4"/>
  <c r="AP47" i="4"/>
  <c r="AP48" i="4"/>
  <c r="AP49" i="4"/>
  <c r="AP50" i="4"/>
  <c r="AP51" i="4"/>
  <c r="AP52" i="4"/>
  <c r="AP53" i="4"/>
  <c r="AP54" i="4"/>
  <c r="AP55" i="4"/>
  <c r="AP56" i="4"/>
  <c r="AP57" i="4"/>
  <c r="AP58" i="4"/>
  <c r="AP59" i="4"/>
  <c r="AP60" i="4"/>
  <c r="AP61" i="4"/>
  <c r="AP62" i="4"/>
  <c r="AP63" i="4"/>
  <c r="AP64" i="4"/>
  <c r="AP65" i="4"/>
  <c r="AP66" i="4"/>
  <c r="AP67" i="4"/>
  <c r="AP68" i="4"/>
  <c r="AP69" i="4"/>
  <c r="AP70" i="4"/>
  <c r="AP71" i="4"/>
  <c r="AP72" i="4"/>
  <c r="AP73" i="4"/>
  <c r="AP74" i="4"/>
  <c r="AP75" i="4"/>
  <c r="AP76" i="4"/>
  <c r="AP77" i="4"/>
  <c r="AP78" i="4"/>
  <c r="AP79" i="4"/>
  <c r="AP80" i="4"/>
  <c r="AP81" i="4"/>
  <c r="AP82" i="4"/>
  <c r="AP83" i="4"/>
  <c r="AP84" i="4"/>
  <c r="AP85" i="4"/>
  <c r="AP86" i="4"/>
  <c r="AP87" i="4"/>
  <c r="AP88" i="4"/>
  <c r="AP89" i="4"/>
  <c r="AP90" i="4"/>
  <c r="AP91" i="4"/>
  <c r="AP92" i="4"/>
  <c r="AP93" i="4"/>
  <c r="AP94" i="4"/>
  <c r="AP95" i="4"/>
  <c r="AP96" i="4"/>
  <c r="AP97" i="4"/>
  <c r="AP98" i="4"/>
  <c r="AP99" i="4"/>
  <c r="AP100" i="4"/>
  <c r="AP101" i="4"/>
  <c r="AP102" i="4"/>
  <c r="AP103" i="4"/>
  <c r="AP104" i="4"/>
  <c r="AP105" i="4"/>
  <c r="AP106" i="4"/>
  <c r="AP107" i="4"/>
  <c r="AP108" i="4"/>
  <c r="AP109" i="4"/>
  <c r="AP110" i="4"/>
  <c r="AP111" i="4"/>
  <c r="AP112" i="4"/>
  <c r="AP113" i="4"/>
  <c r="AP114" i="4"/>
  <c r="AP115" i="4"/>
  <c r="AP116" i="4"/>
  <c r="AP117" i="4"/>
  <c r="AP118" i="4"/>
  <c r="AP119" i="4"/>
  <c r="AP120" i="4"/>
  <c r="AP121" i="4"/>
  <c r="AP122" i="4"/>
  <c r="AP123" i="4"/>
  <c r="AP124" i="4"/>
  <c r="AP125" i="4"/>
  <c r="AP126" i="4"/>
  <c r="AP127" i="4"/>
  <c r="AP128" i="4"/>
  <c r="AP129" i="4"/>
  <c r="AP130" i="4"/>
  <c r="AP131" i="4"/>
  <c r="AP132" i="4"/>
  <c r="AP133" i="4"/>
  <c r="AP134" i="4"/>
  <c r="AP135" i="4"/>
  <c r="AP136" i="4"/>
  <c r="AP137" i="4"/>
  <c r="AP138" i="4"/>
  <c r="AP139" i="4"/>
  <c r="AP140" i="4"/>
  <c r="AP141" i="4"/>
  <c r="AP142" i="4"/>
  <c r="AP143" i="4"/>
  <c r="AP144" i="4"/>
  <c r="AP145" i="4"/>
  <c r="AP146" i="4"/>
  <c r="AP147" i="4"/>
  <c r="AP148" i="4"/>
  <c r="AP149" i="4"/>
  <c r="AP150" i="4"/>
  <c r="AP151" i="4"/>
  <c r="AP152" i="4"/>
  <c r="AP153" i="4"/>
  <c r="AP154" i="4"/>
  <c r="AP155" i="4"/>
  <c r="AP156" i="4"/>
  <c r="AP157" i="4"/>
  <c r="AP158" i="4"/>
  <c r="AP159" i="4"/>
  <c r="AP160" i="4"/>
  <c r="AP161" i="4"/>
  <c r="AP162" i="4"/>
  <c r="AP163" i="4"/>
  <c r="AP164" i="4"/>
  <c r="AP165" i="4"/>
  <c r="AP166" i="4"/>
  <c r="AP167" i="4"/>
  <c r="AP168" i="4"/>
  <c r="AP169" i="4"/>
  <c r="AP170" i="4"/>
  <c r="AP171" i="4"/>
  <c r="AP172" i="4"/>
  <c r="AP173" i="4"/>
  <c r="AP174" i="4"/>
  <c r="AP175" i="4"/>
  <c r="AP176" i="4"/>
  <c r="AP177" i="4"/>
  <c r="AP178" i="4"/>
  <c r="AP179" i="4"/>
  <c r="AP180" i="4"/>
  <c r="AP181" i="4"/>
  <c r="AP182" i="4"/>
  <c r="AP29" i="4"/>
  <c r="AO30" i="4"/>
  <c r="AO31" i="4"/>
  <c r="AO32" i="4"/>
  <c r="AO33" i="4"/>
  <c r="AO34" i="4"/>
  <c r="AO35" i="4"/>
  <c r="AO36" i="4"/>
  <c r="AO37" i="4"/>
  <c r="AO38" i="4"/>
  <c r="AO39" i="4"/>
  <c r="AO40" i="4"/>
  <c r="AO41" i="4"/>
  <c r="AO42" i="4"/>
  <c r="AO43" i="4"/>
  <c r="AO44" i="4"/>
  <c r="AO45" i="4"/>
  <c r="AO46" i="4"/>
  <c r="AO47" i="4"/>
  <c r="AO48" i="4"/>
  <c r="AO49" i="4"/>
  <c r="AO50" i="4"/>
  <c r="AO51" i="4"/>
  <c r="AO52" i="4"/>
  <c r="AO53" i="4"/>
  <c r="AO54" i="4"/>
  <c r="AO55" i="4"/>
  <c r="AO56" i="4"/>
  <c r="AO57" i="4"/>
  <c r="AO58" i="4"/>
  <c r="AO59" i="4"/>
  <c r="AO60" i="4"/>
  <c r="AO61" i="4"/>
  <c r="AO62" i="4"/>
  <c r="AO63" i="4"/>
  <c r="AO64" i="4"/>
  <c r="AO65" i="4"/>
  <c r="AO66" i="4"/>
  <c r="AO67" i="4"/>
  <c r="AO68" i="4"/>
  <c r="AO69" i="4"/>
  <c r="AO70" i="4"/>
  <c r="AO71" i="4"/>
  <c r="AO72" i="4"/>
  <c r="AO73" i="4"/>
  <c r="AO74" i="4"/>
  <c r="AO75" i="4"/>
  <c r="AO76" i="4"/>
  <c r="AO77" i="4"/>
  <c r="AO78" i="4"/>
  <c r="AO79" i="4"/>
  <c r="AO80" i="4"/>
  <c r="AO81" i="4"/>
  <c r="AO82" i="4"/>
  <c r="AO83" i="4"/>
  <c r="AO84" i="4"/>
  <c r="AO85" i="4"/>
  <c r="AO86" i="4"/>
  <c r="AO87" i="4"/>
  <c r="AO88" i="4"/>
  <c r="AO89" i="4"/>
  <c r="AO90" i="4"/>
  <c r="AO91" i="4"/>
  <c r="AO92" i="4"/>
  <c r="AO93" i="4"/>
  <c r="AO94" i="4"/>
  <c r="AO95" i="4"/>
  <c r="AO96" i="4"/>
  <c r="AO97" i="4"/>
  <c r="AO98" i="4"/>
  <c r="AO99" i="4"/>
  <c r="AO100" i="4"/>
  <c r="AO101" i="4"/>
  <c r="AO102" i="4"/>
  <c r="AO103" i="4"/>
  <c r="AO104" i="4"/>
  <c r="AO105" i="4"/>
  <c r="AO106" i="4"/>
  <c r="AO107" i="4"/>
  <c r="AO108" i="4"/>
  <c r="AO109" i="4"/>
  <c r="AO110" i="4"/>
  <c r="AO111" i="4"/>
  <c r="AO112" i="4"/>
  <c r="AO113" i="4"/>
  <c r="AO114" i="4"/>
  <c r="AO115" i="4"/>
  <c r="AO116" i="4"/>
  <c r="AO117" i="4"/>
  <c r="AO118" i="4"/>
  <c r="AO119" i="4"/>
  <c r="AO120" i="4"/>
  <c r="AO121" i="4"/>
  <c r="AO122" i="4"/>
  <c r="AO123" i="4"/>
  <c r="AO124" i="4"/>
  <c r="AO125" i="4"/>
  <c r="AO126" i="4"/>
  <c r="AO127" i="4"/>
  <c r="AO128" i="4"/>
  <c r="AO129" i="4"/>
  <c r="AO130" i="4"/>
  <c r="AO131" i="4"/>
  <c r="AO132" i="4"/>
  <c r="AO133" i="4"/>
  <c r="AO134" i="4"/>
  <c r="AO135" i="4"/>
  <c r="AO136" i="4"/>
  <c r="AO137" i="4"/>
  <c r="AO138" i="4"/>
  <c r="AO139" i="4"/>
  <c r="AO140" i="4"/>
  <c r="AO141" i="4"/>
  <c r="AO142" i="4"/>
  <c r="AO143" i="4"/>
  <c r="AO144" i="4"/>
  <c r="AO145" i="4"/>
  <c r="AO146" i="4"/>
  <c r="AO147" i="4"/>
  <c r="AO148" i="4"/>
  <c r="AO149" i="4"/>
  <c r="AO150" i="4"/>
  <c r="AO151" i="4"/>
  <c r="AO152" i="4"/>
  <c r="AO153" i="4"/>
  <c r="AO154" i="4"/>
  <c r="AO155" i="4"/>
  <c r="AO156" i="4"/>
  <c r="AO157" i="4"/>
  <c r="AO158" i="4"/>
  <c r="AO159" i="4"/>
  <c r="AO160" i="4"/>
  <c r="AO161" i="4"/>
  <c r="AO162" i="4"/>
  <c r="AO163" i="4"/>
  <c r="AO164" i="4"/>
  <c r="AO165" i="4"/>
  <c r="AO166" i="4"/>
  <c r="AO167" i="4"/>
  <c r="AO168" i="4"/>
  <c r="AO169" i="4"/>
  <c r="AO170" i="4"/>
  <c r="AO171" i="4"/>
  <c r="AO172" i="4"/>
  <c r="AO173" i="4"/>
  <c r="AO174" i="4"/>
  <c r="AO175" i="4"/>
  <c r="AO176" i="4"/>
  <c r="AO177" i="4"/>
  <c r="AO178" i="4"/>
  <c r="AO179" i="4"/>
  <c r="AO180" i="4"/>
  <c r="AO181" i="4"/>
  <c r="AO182" i="4"/>
  <c r="AO29" i="4"/>
  <c r="AL30" i="4"/>
  <c r="AL31" i="4"/>
  <c r="AL32" i="4"/>
  <c r="AL33" i="4"/>
  <c r="AL34" i="4"/>
  <c r="AL35" i="4"/>
  <c r="AL36" i="4"/>
  <c r="AL37" i="4"/>
  <c r="AL38" i="4"/>
  <c r="AL39" i="4"/>
  <c r="AL40" i="4"/>
  <c r="AL41" i="4"/>
  <c r="AL42" i="4"/>
  <c r="AL43" i="4"/>
  <c r="AL44" i="4"/>
  <c r="AL45" i="4"/>
  <c r="AL46" i="4"/>
  <c r="AL47" i="4"/>
  <c r="AL48" i="4"/>
  <c r="AL49" i="4"/>
  <c r="AL50" i="4"/>
  <c r="AL51" i="4"/>
  <c r="AL52" i="4"/>
  <c r="AL53" i="4"/>
  <c r="AL54" i="4"/>
  <c r="AL55" i="4"/>
  <c r="AL56" i="4"/>
  <c r="AL57" i="4"/>
  <c r="AL58" i="4"/>
  <c r="AL59" i="4"/>
  <c r="AL60" i="4"/>
  <c r="AL61" i="4"/>
  <c r="AL62" i="4"/>
  <c r="AL63" i="4"/>
  <c r="AL64" i="4"/>
  <c r="AL65" i="4"/>
  <c r="AL66" i="4"/>
  <c r="AL67" i="4"/>
  <c r="AL68" i="4"/>
  <c r="AL69" i="4"/>
  <c r="AL70" i="4"/>
  <c r="AL71" i="4"/>
  <c r="AL72" i="4"/>
  <c r="AL73" i="4"/>
  <c r="AL74" i="4"/>
  <c r="AL75" i="4"/>
  <c r="AL76" i="4"/>
  <c r="AL77" i="4"/>
  <c r="AL78" i="4"/>
  <c r="AL79" i="4"/>
  <c r="AL80" i="4"/>
  <c r="AL81" i="4"/>
  <c r="AL82" i="4"/>
  <c r="AL83" i="4"/>
  <c r="AL84" i="4"/>
  <c r="AL85" i="4"/>
  <c r="AL86" i="4"/>
  <c r="AL87" i="4"/>
  <c r="AL88" i="4"/>
  <c r="AL89" i="4"/>
  <c r="AL90" i="4"/>
  <c r="AL91" i="4"/>
  <c r="AL92" i="4"/>
  <c r="AL93" i="4"/>
  <c r="AL94" i="4"/>
  <c r="AL95" i="4"/>
  <c r="AL96" i="4"/>
  <c r="AL97" i="4"/>
  <c r="AL98" i="4"/>
  <c r="AL99" i="4"/>
  <c r="AL100" i="4"/>
  <c r="AL101" i="4"/>
  <c r="AL102" i="4"/>
  <c r="AL103" i="4"/>
  <c r="AL104" i="4"/>
  <c r="AL105" i="4"/>
  <c r="AL106" i="4"/>
  <c r="AL107" i="4"/>
  <c r="AL108" i="4"/>
  <c r="AL109" i="4"/>
  <c r="AL110" i="4"/>
  <c r="AL111" i="4"/>
  <c r="AL112" i="4"/>
  <c r="AL113" i="4"/>
  <c r="AL114" i="4"/>
  <c r="AL115" i="4"/>
  <c r="AL116" i="4"/>
  <c r="AL117" i="4"/>
  <c r="AL118" i="4"/>
  <c r="AL119" i="4"/>
  <c r="AL120" i="4"/>
  <c r="AL121" i="4"/>
  <c r="AL122" i="4"/>
  <c r="AL123" i="4"/>
  <c r="AL124" i="4"/>
  <c r="AL125" i="4"/>
  <c r="AL126" i="4"/>
  <c r="AL127" i="4"/>
  <c r="AL128" i="4"/>
  <c r="AL129" i="4"/>
  <c r="AL130" i="4"/>
  <c r="AL131" i="4"/>
  <c r="AL132" i="4"/>
  <c r="AL133" i="4"/>
  <c r="AL134" i="4"/>
  <c r="AL135" i="4"/>
  <c r="AL136" i="4"/>
  <c r="AL137" i="4"/>
  <c r="AL138" i="4"/>
  <c r="AL139" i="4"/>
  <c r="AL140" i="4"/>
  <c r="AL141" i="4"/>
  <c r="AL142" i="4"/>
  <c r="AL143" i="4"/>
  <c r="AL144" i="4"/>
  <c r="AL145" i="4"/>
  <c r="AL146" i="4"/>
  <c r="AL147" i="4"/>
  <c r="AL148" i="4"/>
  <c r="AL149" i="4"/>
  <c r="AL150" i="4"/>
  <c r="AL151" i="4"/>
  <c r="AL152" i="4"/>
  <c r="AL153" i="4"/>
  <c r="AL154" i="4"/>
  <c r="AL155" i="4"/>
  <c r="AL156" i="4"/>
  <c r="AL157" i="4"/>
  <c r="AL158" i="4"/>
  <c r="AL159" i="4"/>
  <c r="AL160" i="4"/>
  <c r="AL161" i="4"/>
  <c r="AL162" i="4"/>
  <c r="AL163" i="4"/>
  <c r="AL164" i="4"/>
  <c r="AL165" i="4"/>
  <c r="AL166" i="4"/>
  <c r="AL167" i="4"/>
  <c r="AL168" i="4"/>
  <c r="AL169" i="4"/>
  <c r="AL170" i="4"/>
  <c r="AL171" i="4"/>
  <c r="AL172" i="4"/>
  <c r="AL173" i="4"/>
  <c r="AL174" i="4"/>
  <c r="AL175" i="4"/>
  <c r="AL176" i="4"/>
  <c r="AL177" i="4"/>
  <c r="AL178" i="4"/>
  <c r="AL179" i="4"/>
  <c r="AL180" i="4"/>
  <c r="AL181" i="4"/>
  <c r="AL182" i="4"/>
  <c r="AL29" i="4"/>
  <c r="AK29" i="4"/>
  <c r="AJ30" i="4"/>
  <c r="AJ31" i="4"/>
  <c r="AJ32" i="4"/>
  <c r="AJ33" i="4"/>
  <c r="AJ34" i="4"/>
  <c r="AJ35" i="4"/>
  <c r="AJ36" i="4"/>
  <c r="AJ37" i="4"/>
  <c r="AJ38" i="4"/>
  <c r="AJ39" i="4"/>
  <c r="AJ40" i="4"/>
  <c r="AJ41" i="4"/>
  <c r="AJ42" i="4"/>
  <c r="AJ43" i="4"/>
  <c r="AJ44" i="4"/>
  <c r="AJ45" i="4"/>
  <c r="AJ46" i="4"/>
  <c r="AJ47" i="4"/>
  <c r="AJ48" i="4"/>
  <c r="AJ49" i="4"/>
  <c r="AJ50" i="4"/>
  <c r="AJ51" i="4"/>
  <c r="AJ52" i="4"/>
  <c r="AJ53" i="4"/>
  <c r="AJ54" i="4"/>
  <c r="AJ55" i="4"/>
  <c r="AJ56" i="4"/>
  <c r="AJ57" i="4"/>
  <c r="AJ58" i="4"/>
  <c r="AJ59" i="4"/>
  <c r="AJ60" i="4"/>
  <c r="AJ61" i="4"/>
  <c r="AJ62" i="4"/>
  <c r="AJ63" i="4"/>
  <c r="AJ64" i="4"/>
  <c r="AJ65" i="4"/>
  <c r="AJ66" i="4"/>
  <c r="AJ67" i="4"/>
  <c r="AJ68" i="4"/>
  <c r="AJ69" i="4"/>
  <c r="AJ70" i="4"/>
  <c r="AJ71" i="4"/>
  <c r="AJ72" i="4"/>
  <c r="AJ73" i="4"/>
  <c r="AJ74" i="4"/>
  <c r="AJ75" i="4"/>
  <c r="AJ76" i="4"/>
  <c r="AJ77" i="4"/>
  <c r="AJ78" i="4"/>
  <c r="AJ79" i="4"/>
  <c r="AJ80" i="4"/>
  <c r="AJ81" i="4"/>
  <c r="AJ82" i="4"/>
  <c r="AJ83" i="4"/>
  <c r="AJ84" i="4"/>
  <c r="AJ85" i="4"/>
  <c r="AJ86" i="4"/>
  <c r="AJ87" i="4"/>
  <c r="AJ88" i="4"/>
  <c r="AJ89" i="4"/>
  <c r="AJ90" i="4"/>
  <c r="AJ91" i="4"/>
  <c r="AJ92" i="4"/>
  <c r="AJ93" i="4"/>
  <c r="AJ94" i="4"/>
  <c r="AJ95" i="4"/>
  <c r="AJ96" i="4"/>
  <c r="AJ97" i="4"/>
  <c r="AJ98" i="4"/>
  <c r="AJ99" i="4"/>
  <c r="AJ100" i="4"/>
  <c r="AJ101" i="4"/>
  <c r="AJ102" i="4"/>
  <c r="AJ103" i="4"/>
  <c r="AJ104" i="4"/>
  <c r="AJ105" i="4"/>
  <c r="AJ106" i="4"/>
  <c r="AJ107" i="4"/>
  <c r="AJ108" i="4"/>
  <c r="AJ109" i="4"/>
  <c r="AJ110" i="4"/>
  <c r="AJ111" i="4"/>
  <c r="AJ112" i="4"/>
  <c r="AJ113" i="4"/>
  <c r="AJ114" i="4"/>
  <c r="AJ115" i="4"/>
  <c r="AJ116" i="4"/>
  <c r="AJ117" i="4"/>
  <c r="AJ118" i="4"/>
  <c r="AJ119" i="4"/>
  <c r="AJ120" i="4"/>
  <c r="AJ121" i="4"/>
  <c r="AJ122" i="4"/>
  <c r="AJ123" i="4"/>
  <c r="AJ124" i="4"/>
  <c r="AJ125" i="4"/>
  <c r="AJ126" i="4"/>
  <c r="AJ127" i="4"/>
  <c r="AJ128" i="4"/>
  <c r="AJ129" i="4"/>
  <c r="AJ130" i="4"/>
  <c r="AJ131" i="4"/>
  <c r="AJ132" i="4"/>
  <c r="AJ133" i="4"/>
  <c r="AJ134" i="4"/>
  <c r="AJ135" i="4"/>
  <c r="AJ136" i="4"/>
  <c r="AJ137" i="4"/>
  <c r="AJ138" i="4"/>
  <c r="AJ139" i="4"/>
  <c r="AJ140" i="4"/>
  <c r="AJ141" i="4"/>
  <c r="AJ142" i="4"/>
  <c r="AJ143" i="4"/>
  <c r="AJ144" i="4"/>
  <c r="AJ145" i="4"/>
  <c r="AJ146" i="4"/>
  <c r="AJ147" i="4"/>
  <c r="AJ148" i="4"/>
  <c r="AJ149" i="4"/>
  <c r="AJ150" i="4"/>
  <c r="AJ151" i="4"/>
  <c r="AJ152" i="4"/>
  <c r="AJ153" i="4"/>
  <c r="AJ154" i="4"/>
  <c r="AJ155" i="4"/>
  <c r="AJ156" i="4"/>
  <c r="AJ157" i="4"/>
  <c r="AJ158" i="4"/>
  <c r="AJ159" i="4"/>
  <c r="AJ160" i="4"/>
  <c r="AJ161" i="4"/>
  <c r="AJ162" i="4"/>
  <c r="AJ163" i="4"/>
  <c r="AJ164" i="4"/>
  <c r="AJ165" i="4"/>
  <c r="AJ166" i="4"/>
  <c r="AJ167" i="4"/>
  <c r="AJ168" i="4"/>
  <c r="AJ169" i="4"/>
  <c r="AJ170" i="4"/>
  <c r="AJ171" i="4"/>
  <c r="AJ172" i="4"/>
  <c r="AJ173" i="4"/>
  <c r="AJ174" i="4"/>
  <c r="AJ175" i="4"/>
  <c r="AJ176" i="4"/>
  <c r="AJ177" i="4"/>
  <c r="AJ178" i="4"/>
  <c r="AJ179" i="4"/>
  <c r="AJ180" i="4"/>
  <c r="AJ181" i="4"/>
  <c r="AJ182" i="4"/>
  <c r="AJ29" i="4"/>
  <c r="AF30" i="4"/>
  <c r="AF31" i="4"/>
  <c r="AF32" i="4"/>
  <c r="AF33" i="4"/>
  <c r="AF34" i="4"/>
  <c r="AF35" i="4"/>
  <c r="AF36" i="4"/>
  <c r="AF37" i="4"/>
  <c r="AF38" i="4"/>
  <c r="AF39" i="4"/>
  <c r="AF40" i="4"/>
  <c r="AF41" i="4"/>
  <c r="AF42" i="4"/>
  <c r="AF43" i="4"/>
  <c r="AF44" i="4"/>
  <c r="AF45" i="4"/>
  <c r="AF46" i="4"/>
  <c r="AF47" i="4"/>
  <c r="AF48" i="4"/>
  <c r="AF49" i="4"/>
  <c r="AF50" i="4"/>
  <c r="AF51" i="4"/>
  <c r="AF52" i="4"/>
  <c r="AF53" i="4"/>
  <c r="AF54" i="4"/>
  <c r="AF55" i="4"/>
  <c r="AF56" i="4"/>
  <c r="AF57" i="4"/>
  <c r="AF58" i="4"/>
  <c r="AF59" i="4"/>
  <c r="AF60" i="4"/>
  <c r="AF61" i="4"/>
  <c r="AF62" i="4"/>
  <c r="AF63" i="4"/>
  <c r="AF64" i="4"/>
  <c r="AF65" i="4"/>
  <c r="AF66" i="4"/>
  <c r="AF67" i="4"/>
  <c r="AF68" i="4"/>
  <c r="AF69" i="4"/>
  <c r="AF70" i="4"/>
  <c r="AF71" i="4"/>
  <c r="AF72" i="4"/>
  <c r="AF73" i="4"/>
  <c r="AF74" i="4"/>
  <c r="AF75" i="4"/>
  <c r="AF76" i="4"/>
  <c r="AF77" i="4"/>
  <c r="AF78" i="4"/>
  <c r="AF79" i="4"/>
  <c r="AF80" i="4"/>
  <c r="AF81" i="4"/>
  <c r="AF82" i="4"/>
  <c r="AF83" i="4"/>
  <c r="AF84" i="4"/>
  <c r="AF85" i="4"/>
  <c r="AF86" i="4"/>
  <c r="AF87" i="4"/>
  <c r="AF88" i="4"/>
  <c r="AF89" i="4"/>
  <c r="AF90" i="4"/>
  <c r="AF91" i="4"/>
  <c r="AF92" i="4"/>
  <c r="AF93" i="4"/>
  <c r="AF94" i="4"/>
  <c r="AF95" i="4"/>
  <c r="AF96" i="4"/>
  <c r="AF97" i="4"/>
  <c r="AF98" i="4"/>
  <c r="AF99" i="4"/>
  <c r="AF100" i="4"/>
  <c r="AF101" i="4"/>
  <c r="AF102" i="4"/>
  <c r="AF103" i="4"/>
  <c r="AF104" i="4"/>
  <c r="AF105" i="4"/>
  <c r="AF106" i="4"/>
  <c r="AF107" i="4"/>
  <c r="AF108" i="4"/>
  <c r="AF109" i="4"/>
  <c r="AF110" i="4"/>
  <c r="AF111" i="4"/>
  <c r="AF112" i="4"/>
  <c r="AF113" i="4"/>
  <c r="AF114" i="4"/>
  <c r="AF115" i="4"/>
  <c r="AF116" i="4"/>
  <c r="AF117" i="4"/>
  <c r="AF118" i="4"/>
  <c r="AF119" i="4"/>
  <c r="AF120" i="4"/>
  <c r="AF121" i="4"/>
  <c r="AF122" i="4"/>
  <c r="AF123" i="4"/>
  <c r="AF124" i="4"/>
  <c r="AF125" i="4"/>
  <c r="AF126" i="4"/>
  <c r="AF127" i="4"/>
  <c r="AF128" i="4"/>
  <c r="AF129" i="4"/>
  <c r="AF130" i="4"/>
  <c r="AF131" i="4"/>
  <c r="AF132" i="4"/>
  <c r="AF133" i="4"/>
  <c r="AF134" i="4"/>
  <c r="AF135" i="4"/>
  <c r="AF136" i="4"/>
  <c r="AF137" i="4"/>
  <c r="AF138" i="4"/>
  <c r="AF139" i="4"/>
  <c r="AF140" i="4"/>
  <c r="AF141" i="4"/>
  <c r="AF142" i="4"/>
  <c r="AF143" i="4"/>
  <c r="AF144" i="4"/>
  <c r="AF145" i="4"/>
  <c r="AF146" i="4"/>
  <c r="AF147" i="4"/>
  <c r="AF148" i="4"/>
  <c r="AF149" i="4"/>
  <c r="AF150" i="4"/>
  <c r="AF151" i="4"/>
  <c r="AF152" i="4"/>
  <c r="AF153" i="4"/>
  <c r="AF154" i="4"/>
  <c r="AF155" i="4"/>
  <c r="AF156" i="4"/>
  <c r="AF157" i="4"/>
  <c r="AF158" i="4"/>
  <c r="AF159" i="4"/>
  <c r="AF160" i="4"/>
  <c r="AF161" i="4"/>
  <c r="AF162" i="4"/>
  <c r="AF163" i="4"/>
  <c r="AF164" i="4"/>
  <c r="AF165" i="4"/>
  <c r="AF166" i="4"/>
  <c r="AF167" i="4"/>
  <c r="AF168" i="4"/>
  <c r="AF169" i="4"/>
  <c r="AF170" i="4"/>
  <c r="AF171" i="4"/>
  <c r="AF172" i="4"/>
  <c r="AF173" i="4"/>
  <c r="AF174" i="4"/>
  <c r="AF175" i="4"/>
  <c r="AF176" i="4"/>
  <c r="AF177" i="4"/>
  <c r="AF178" i="4"/>
  <c r="AF179" i="4"/>
  <c r="AF180" i="4"/>
  <c r="AF181" i="4"/>
  <c r="AF182" i="4"/>
  <c r="AK30" i="4"/>
  <c r="AK31" i="4"/>
  <c r="AK32" i="4"/>
  <c r="AK33" i="4"/>
  <c r="AK34" i="4"/>
  <c r="AK35" i="4"/>
  <c r="AK36" i="4"/>
  <c r="AK37" i="4"/>
  <c r="AK38" i="4"/>
  <c r="AK39" i="4"/>
  <c r="AK40" i="4"/>
  <c r="AK41" i="4"/>
  <c r="AK42" i="4"/>
  <c r="AK43" i="4"/>
  <c r="AK44" i="4"/>
  <c r="AK45" i="4"/>
  <c r="AK46" i="4"/>
  <c r="AK47" i="4"/>
  <c r="AK48" i="4"/>
  <c r="AK49" i="4"/>
  <c r="AK50" i="4"/>
  <c r="AK51" i="4"/>
  <c r="AK52" i="4"/>
  <c r="AK53" i="4"/>
  <c r="AK54" i="4"/>
  <c r="AK55" i="4"/>
  <c r="AK56" i="4"/>
  <c r="AK57" i="4"/>
  <c r="AK58" i="4"/>
  <c r="AK59" i="4"/>
  <c r="AK60" i="4"/>
  <c r="AK61" i="4"/>
  <c r="AK62" i="4"/>
  <c r="AK63" i="4"/>
  <c r="AK64" i="4"/>
  <c r="AK65" i="4"/>
  <c r="AK66" i="4"/>
  <c r="AK67" i="4"/>
  <c r="AK68" i="4"/>
  <c r="AK69" i="4"/>
  <c r="AK70" i="4"/>
  <c r="AK71" i="4"/>
  <c r="AK72" i="4"/>
  <c r="AK73" i="4"/>
  <c r="AK74" i="4"/>
  <c r="AK75" i="4"/>
  <c r="AK76" i="4"/>
  <c r="AK77" i="4"/>
  <c r="AK78" i="4"/>
  <c r="AK79" i="4"/>
  <c r="AK80" i="4"/>
  <c r="AK81" i="4"/>
  <c r="AK82" i="4"/>
  <c r="AK83" i="4"/>
  <c r="AK84" i="4"/>
  <c r="AK85" i="4"/>
  <c r="AK86" i="4"/>
  <c r="AK87" i="4"/>
  <c r="AK88" i="4"/>
  <c r="AK89" i="4"/>
  <c r="AK90" i="4"/>
  <c r="AK91" i="4"/>
  <c r="AK92" i="4"/>
  <c r="AK93" i="4"/>
  <c r="AK94" i="4"/>
  <c r="AK95" i="4"/>
  <c r="AK96" i="4"/>
  <c r="AK97" i="4"/>
  <c r="AK98" i="4"/>
  <c r="AK99" i="4"/>
  <c r="AK100" i="4"/>
  <c r="AK101" i="4"/>
  <c r="AK102" i="4"/>
  <c r="AK103" i="4"/>
  <c r="AK104" i="4"/>
  <c r="AK105" i="4"/>
  <c r="AK106" i="4"/>
  <c r="AK107" i="4"/>
  <c r="AK108" i="4"/>
  <c r="AK109" i="4"/>
  <c r="AK110" i="4"/>
  <c r="AK111" i="4"/>
  <c r="AK112" i="4"/>
  <c r="AK113" i="4"/>
  <c r="AK114" i="4"/>
  <c r="AK115" i="4"/>
  <c r="AK116" i="4"/>
  <c r="AK117" i="4"/>
  <c r="AK118" i="4"/>
  <c r="AK119" i="4"/>
  <c r="AK120" i="4"/>
  <c r="AK121" i="4"/>
  <c r="AK122" i="4"/>
  <c r="AK123" i="4"/>
  <c r="AK124" i="4"/>
  <c r="AK125" i="4"/>
  <c r="AK126" i="4"/>
  <c r="AK127" i="4"/>
  <c r="AK128" i="4"/>
  <c r="AK129" i="4"/>
  <c r="AK130" i="4"/>
  <c r="AK131" i="4"/>
  <c r="AK132" i="4"/>
  <c r="AK133" i="4"/>
  <c r="AK134" i="4"/>
  <c r="AK135" i="4"/>
  <c r="AK136" i="4"/>
  <c r="AK137" i="4"/>
  <c r="AK138" i="4"/>
  <c r="AK139" i="4"/>
  <c r="AK140" i="4"/>
  <c r="AK141" i="4"/>
  <c r="AK142" i="4"/>
  <c r="AK143" i="4"/>
  <c r="AK144" i="4"/>
  <c r="AK145" i="4"/>
  <c r="AK146" i="4"/>
  <c r="AK147" i="4"/>
  <c r="AK148" i="4"/>
  <c r="AK149" i="4"/>
  <c r="AK150" i="4"/>
  <c r="AK151" i="4"/>
  <c r="AK152" i="4"/>
  <c r="AK153" i="4"/>
  <c r="AK154" i="4"/>
  <c r="AK155" i="4"/>
  <c r="AK156" i="4"/>
  <c r="AK157" i="4"/>
  <c r="AK158" i="4"/>
  <c r="AK159" i="4"/>
  <c r="AK160" i="4"/>
  <c r="AK161" i="4"/>
  <c r="AK162" i="4"/>
  <c r="AK163" i="4"/>
  <c r="AK164" i="4"/>
  <c r="AK165" i="4"/>
  <c r="AK166" i="4"/>
  <c r="AK167" i="4"/>
  <c r="AK168" i="4"/>
  <c r="AK169" i="4"/>
  <c r="AK170" i="4"/>
  <c r="AK171" i="4"/>
  <c r="AK172" i="4"/>
  <c r="AK173" i="4"/>
  <c r="AK174" i="4"/>
  <c r="AK175" i="4"/>
  <c r="AK176" i="4"/>
  <c r="AK177" i="4"/>
  <c r="AK178" i="4"/>
  <c r="AK179" i="4"/>
  <c r="AK180" i="4"/>
  <c r="AK181" i="4"/>
  <c r="AK182" i="4"/>
  <c r="C88" i="4"/>
  <c r="C135" i="4" s="1"/>
  <c r="C87" i="4"/>
  <c r="C136" i="4" s="1"/>
  <c r="C86" i="4"/>
  <c r="C134" i="4" s="1"/>
  <c r="C77" i="4"/>
  <c r="C76" i="4"/>
  <c r="C75" i="4"/>
  <c r="C66" i="4"/>
  <c r="C65" i="4"/>
  <c r="C64" i="4"/>
  <c r="C55" i="4"/>
  <c r="AT35" i="4" s="1"/>
  <c r="C41" i="4"/>
  <c r="AR170" i="4" l="1"/>
  <c r="G15" i="1"/>
  <c r="C32" i="1"/>
  <c r="H20" i="9"/>
  <c r="C137" i="4"/>
  <c r="F28" i="9"/>
  <c r="AR182" i="4"/>
  <c r="AR180" i="4"/>
  <c r="AR168" i="4"/>
  <c r="AR156" i="4"/>
  <c r="AR144" i="4"/>
  <c r="AR132" i="4"/>
  <c r="AR120" i="4"/>
  <c r="AR108" i="4"/>
  <c r="AR96" i="4"/>
  <c r="AR84" i="4"/>
  <c r="AR72" i="4"/>
  <c r="AR60" i="4"/>
  <c r="AR48" i="4"/>
  <c r="AR158" i="4"/>
  <c r="AR146" i="4"/>
  <c r="AR134" i="4"/>
  <c r="AR122" i="4"/>
  <c r="AR110" i="4"/>
  <c r="AR98" i="4"/>
  <c r="AR86" i="4"/>
  <c r="AR74" i="4"/>
  <c r="AR62" i="4"/>
  <c r="AR50" i="4"/>
  <c r="AR38" i="4"/>
  <c r="AR181" i="4"/>
  <c r="AR169" i="4"/>
  <c r="AR157" i="4"/>
  <c r="AR145" i="4"/>
  <c r="AR133" i="4"/>
  <c r="AR121" i="4"/>
  <c r="AR109" i="4"/>
  <c r="AR97" i="4"/>
  <c r="AR85" i="4"/>
  <c r="AR73" i="4"/>
  <c r="AR61" i="4"/>
  <c r="AR49" i="4"/>
  <c r="AR37" i="4"/>
  <c r="AR29" i="4"/>
  <c r="AR171" i="4"/>
  <c r="AR159" i="4"/>
  <c r="AR147" i="4"/>
  <c r="AR135" i="4"/>
  <c r="AR123" i="4"/>
  <c r="AR111" i="4"/>
  <c r="AR99" i="4"/>
  <c r="AR87" i="4"/>
  <c r="AR75" i="4"/>
  <c r="AR63" i="4"/>
  <c r="AR51" i="4"/>
  <c r="AR39" i="4"/>
  <c r="AR36" i="4"/>
  <c r="AR179" i="4"/>
  <c r="AR167" i="4"/>
  <c r="AR155" i="4"/>
  <c r="AR143" i="4"/>
  <c r="AR131" i="4"/>
  <c r="AR119" i="4"/>
  <c r="AR107" i="4"/>
  <c r="AR95" i="4"/>
  <c r="AR83" i="4"/>
  <c r="AR71" i="4"/>
  <c r="AR59" i="4"/>
  <c r="AR47" i="4"/>
  <c r="AR35" i="4"/>
  <c r="AR166" i="4"/>
  <c r="AR142" i="4"/>
  <c r="AR130" i="4"/>
  <c r="AR118" i="4"/>
  <c r="AR106" i="4"/>
  <c r="AR70" i="4"/>
  <c r="AR58" i="4"/>
  <c r="AR46" i="4"/>
  <c r="AR34" i="4"/>
  <c r="AR116" i="4"/>
  <c r="AR178" i="4"/>
  <c r="AR94" i="4"/>
  <c r="AR154" i="4"/>
  <c r="AR82" i="4"/>
  <c r="AR44" i="4"/>
  <c r="AR172" i="4"/>
  <c r="AR160" i="4"/>
  <c r="AR148" i="4"/>
  <c r="AR136" i="4"/>
  <c r="AR124" i="4"/>
  <c r="AR112" i="4"/>
  <c r="AR100" i="4"/>
  <c r="AR88" i="4"/>
  <c r="AR76" i="4"/>
  <c r="AR64" i="4"/>
  <c r="AR52" i="4"/>
  <c r="AR40" i="4"/>
  <c r="AR174" i="4"/>
  <c r="AR162" i="4"/>
  <c r="AR150" i="4"/>
  <c r="AR138" i="4"/>
  <c r="AR126" i="4"/>
  <c r="AR114" i="4"/>
  <c r="AR102" i="4"/>
  <c r="AR90" i="4"/>
  <c r="AR78" i="4"/>
  <c r="AR66" i="4"/>
  <c r="AR54" i="4"/>
  <c r="AR42" i="4"/>
  <c r="AR30" i="4"/>
  <c r="AR173" i="4"/>
  <c r="AR161" i="4"/>
  <c r="AR149" i="4"/>
  <c r="AR137" i="4"/>
  <c r="AR125" i="4"/>
  <c r="AR113" i="4"/>
  <c r="AR101" i="4"/>
  <c r="AR89" i="4"/>
  <c r="AR77" i="4"/>
  <c r="AR65" i="4"/>
  <c r="AR53" i="4"/>
  <c r="AR41" i="4"/>
  <c r="AR176" i="4"/>
  <c r="AR164" i="4"/>
  <c r="AR152" i="4"/>
  <c r="AR140" i="4"/>
  <c r="AR128" i="4"/>
  <c r="AR104" i="4"/>
  <c r="AR92" i="4"/>
  <c r="AR80" i="4"/>
  <c r="AR68" i="4"/>
  <c r="AR56" i="4"/>
  <c r="AR32" i="4"/>
  <c r="AR177" i="4"/>
  <c r="AR165" i="4"/>
  <c r="AR153" i="4"/>
  <c r="AR141" i="4"/>
  <c r="AR129" i="4"/>
  <c r="AR117" i="4"/>
  <c r="AR105" i="4"/>
  <c r="AR93" i="4"/>
  <c r="AR81" i="4"/>
  <c r="AR69" i="4"/>
  <c r="AR57" i="4"/>
  <c r="AR45" i="4"/>
  <c r="AR33" i="4"/>
  <c r="AR175" i="4"/>
  <c r="AR163" i="4"/>
  <c r="AR151" i="4"/>
  <c r="AR139" i="4"/>
  <c r="AR127" i="4"/>
  <c r="AR115" i="4"/>
  <c r="AR103" i="4"/>
  <c r="AR91" i="4"/>
  <c r="AR79" i="4"/>
  <c r="AR67" i="4"/>
  <c r="AR55" i="4"/>
  <c r="AR43" i="4"/>
  <c r="AR31" i="4"/>
  <c r="AM29" i="4"/>
  <c r="AM180" i="4"/>
  <c r="AM168" i="4"/>
  <c r="AM156" i="4"/>
  <c r="AM144" i="4"/>
  <c r="AH138" i="4"/>
  <c r="AH162" i="4"/>
  <c r="AH32" i="4"/>
  <c r="AH176" i="4"/>
  <c r="AM179" i="4"/>
  <c r="AM167" i="4"/>
  <c r="AM155" i="4"/>
  <c r="AM143" i="4"/>
  <c r="AM131" i="4"/>
  <c r="AM176" i="4"/>
  <c r="AM164" i="4"/>
  <c r="AM132" i="4"/>
  <c r="AM120" i="4"/>
  <c r="AM108" i="4"/>
  <c r="AM96" i="4"/>
  <c r="AM84" i="4"/>
  <c r="AM72" i="4"/>
  <c r="AM60" i="4"/>
  <c r="AM48" i="4"/>
  <c r="AM36" i="4"/>
  <c r="AM119" i="4"/>
  <c r="AM107" i="4"/>
  <c r="AM95" i="4"/>
  <c r="AM83" i="4"/>
  <c r="AM71" i="4"/>
  <c r="AM59" i="4"/>
  <c r="AM47" i="4"/>
  <c r="AM35" i="4"/>
  <c r="AM177" i="4"/>
  <c r="AM165" i="4"/>
  <c r="AM153" i="4"/>
  <c r="AM141" i="4"/>
  <c r="AM152" i="4"/>
  <c r="AM140" i="4"/>
  <c r="AM128" i="4"/>
  <c r="AM116" i="4"/>
  <c r="AM104" i="4"/>
  <c r="AM92" i="4"/>
  <c r="AM80" i="4"/>
  <c r="AM68" i="4"/>
  <c r="AM56" i="4"/>
  <c r="AM44" i="4"/>
  <c r="AM32" i="4"/>
  <c r="AM182" i="4"/>
  <c r="AM170" i="4"/>
  <c r="AM158" i="4"/>
  <c r="AM146" i="4"/>
  <c r="AM38" i="4"/>
  <c r="AM129" i="4"/>
  <c r="AM117" i="4"/>
  <c r="AM105" i="4"/>
  <c r="AM93" i="4"/>
  <c r="AM81" i="4"/>
  <c r="AM69" i="4"/>
  <c r="AM57" i="4"/>
  <c r="AM45" i="4"/>
  <c r="AM33" i="4"/>
  <c r="AM175" i="4"/>
  <c r="AM163" i="4"/>
  <c r="AM151" i="4"/>
  <c r="AM139" i="4"/>
  <c r="AM127" i="4"/>
  <c r="AM115" i="4"/>
  <c r="AM103" i="4"/>
  <c r="AM91" i="4"/>
  <c r="AM79" i="4"/>
  <c r="AM67" i="4"/>
  <c r="AM55" i="4"/>
  <c r="AM43" i="4"/>
  <c r="AM31" i="4"/>
  <c r="AM174" i="4"/>
  <c r="AM162" i="4"/>
  <c r="AM150" i="4"/>
  <c r="AM138" i="4"/>
  <c r="AM126" i="4"/>
  <c r="AM114" i="4"/>
  <c r="AM102" i="4"/>
  <c r="AM90" i="4"/>
  <c r="AM78" i="4"/>
  <c r="AM66" i="4"/>
  <c r="AM54" i="4"/>
  <c r="AM42" i="4"/>
  <c r="AM30" i="4"/>
  <c r="AM173" i="4"/>
  <c r="AM161" i="4"/>
  <c r="AM149" i="4"/>
  <c r="AM137" i="4"/>
  <c r="AM125" i="4"/>
  <c r="AM113" i="4"/>
  <c r="AM101" i="4"/>
  <c r="AM89" i="4"/>
  <c r="AM77" i="4"/>
  <c r="AM65" i="4"/>
  <c r="AM53" i="4"/>
  <c r="AM41" i="4"/>
  <c r="AM172" i="4"/>
  <c r="AM160" i="4"/>
  <c r="AM148" i="4"/>
  <c r="AM136" i="4"/>
  <c r="AM124" i="4"/>
  <c r="AM112" i="4"/>
  <c r="AM100" i="4"/>
  <c r="AM88" i="4"/>
  <c r="AM76" i="4"/>
  <c r="AM64" i="4"/>
  <c r="AM52" i="4"/>
  <c r="AM40" i="4"/>
  <c r="AM99" i="4"/>
  <c r="AM171" i="4"/>
  <c r="AM159" i="4"/>
  <c r="AM147" i="4"/>
  <c r="AM135" i="4"/>
  <c r="AM123" i="4"/>
  <c r="AM111" i="4"/>
  <c r="AM87" i="4"/>
  <c r="AM75" i="4"/>
  <c r="AM63" i="4"/>
  <c r="AM51" i="4"/>
  <c r="AM39" i="4"/>
  <c r="AM122" i="4"/>
  <c r="AM134" i="4"/>
  <c r="AM110" i="4"/>
  <c r="AM98" i="4"/>
  <c r="AM86" i="4"/>
  <c r="AM74" i="4"/>
  <c r="AM62" i="4"/>
  <c r="AM50" i="4"/>
  <c r="AM181" i="4"/>
  <c r="AM169" i="4"/>
  <c r="AM157" i="4"/>
  <c r="AM145" i="4"/>
  <c r="AM133" i="4"/>
  <c r="AM121" i="4"/>
  <c r="AM109" i="4"/>
  <c r="AM97" i="4"/>
  <c r="AM85" i="4"/>
  <c r="AM73" i="4"/>
  <c r="AM61" i="4"/>
  <c r="AM49" i="4"/>
  <c r="AM37" i="4"/>
  <c r="AM178" i="4"/>
  <c r="AM166" i="4"/>
  <c r="AM154" i="4"/>
  <c r="AM142" i="4"/>
  <c r="AM130" i="4"/>
  <c r="AM118" i="4"/>
  <c r="AM106" i="4"/>
  <c r="AM94" i="4"/>
  <c r="AM82" i="4"/>
  <c r="AM70" i="4"/>
  <c r="AM58" i="4"/>
  <c r="AM46" i="4"/>
  <c r="AM34" i="4"/>
  <c r="AH169" i="4"/>
  <c r="AH145" i="4"/>
  <c r="AH133" i="4"/>
  <c r="AH121" i="4"/>
  <c r="AH109" i="4"/>
  <c r="AH97" i="4"/>
  <c r="AH85" i="4"/>
  <c r="AH73" i="4"/>
  <c r="AH61" i="4"/>
  <c r="AH49" i="4"/>
  <c r="AH37" i="4"/>
  <c r="AH60" i="4"/>
  <c r="AH36" i="4"/>
  <c r="AH68" i="4"/>
  <c r="AH44" i="4"/>
  <c r="AH175" i="4"/>
  <c r="AH151" i="4"/>
  <c r="AH139" i="4"/>
  <c r="AH127" i="4"/>
  <c r="AH115" i="4"/>
  <c r="AH103" i="4"/>
  <c r="AH91" i="4"/>
  <c r="AH79" i="4"/>
  <c r="AH67" i="4"/>
  <c r="AH55" i="4"/>
  <c r="AH43" i="4"/>
  <c r="AH31" i="4"/>
  <c r="AH106" i="4"/>
  <c r="AH156" i="4"/>
  <c r="AH84" i="4"/>
  <c r="AH96" i="4"/>
  <c r="AH47" i="4"/>
  <c r="AH104" i="4"/>
  <c r="AH92" i="4"/>
  <c r="AH80" i="4"/>
  <c r="AH56" i="4"/>
  <c r="AH180" i="4"/>
  <c r="AH158" i="4"/>
  <c r="AH128" i="4"/>
  <c r="AH171" i="4"/>
  <c r="AH134" i="4"/>
  <c r="AH110" i="4"/>
  <c r="AH98" i="4"/>
  <c r="AH165" i="4"/>
  <c r="AH129" i="4"/>
  <c r="AH114" i="4"/>
  <c r="AH164" i="4"/>
  <c r="AH71" i="4"/>
  <c r="AH122" i="4"/>
  <c r="AH146" i="4"/>
  <c r="AH117" i="4"/>
  <c r="AH105" i="4"/>
  <c r="AH93" i="4"/>
  <c r="AH81" i="4"/>
  <c r="AH69" i="4"/>
  <c r="AH57" i="4"/>
  <c r="AH45" i="4"/>
  <c r="AH33" i="4"/>
  <c r="AH59" i="4"/>
  <c r="AH153" i="4"/>
  <c r="AH131" i="4"/>
  <c r="AH35" i="4"/>
  <c r="AH126" i="4"/>
  <c r="AH102" i="4"/>
  <c r="AH30" i="4"/>
  <c r="AH83" i="4"/>
  <c r="AH95" i="4"/>
  <c r="AH155" i="4"/>
  <c r="AH99" i="4"/>
  <c r="AH75" i="4"/>
  <c r="AH143" i="4"/>
  <c r="AH167" i="4"/>
  <c r="AH107" i="4"/>
  <c r="AH144" i="4"/>
  <c r="AH132" i="4"/>
  <c r="AH120" i="4"/>
  <c r="AH72" i="4"/>
  <c r="AH48" i="4"/>
  <c r="AH166" i="4"/>
  <c r="AH154" i="4"/>
  <c r="AH142" i="4"/>
  <c r="AH182" i="4"/>
  <c r="AH160" i="4"/>
  <c r="AH76" i="4"/>
  <c r="AH148" i="4"/>
  <c r="AH149" i="4"/>
  <c r="AH100" i="4"/>
  <c r="AH88" i="4"/>
  <c r="AH64" i="4"/>
  <c r="AH52" i="4"/>
  <c r="AH40" i="4"/>
  <c r="AH178" i="4"/>
  <c r="AH177" i="4"/>
  <c r="AH173" i="4"/>
  <c r="AH137" i="4"/>
  <c r="AH147" i="4"/>
  <c r="AH77" i="4"/>
  <c r="AH87" i="4"/>
  <c r="AH135" i="4"/>
  <c r="AH39" i="4"/>
  <c r="AH41" i="4"/>
  <c r="AH89" i="4"/>
  <c r="AH124" i="4"/>
  <c r="AH51" i="4"/>
  <c r="AH53" i="4"/>
  <c r="AH113" i="4"/>
  <c r="AH111" i="4"/>
  <c r="AH63" i="4"/>
  <c r="AH65" i="4"/>
  <c r="AH29" i="4"/>
  <c r="AH46" i="4"/>
  <c r="AH50" i="4"/>
  <c r="AH54" i="4"/>
  <c r="AH58" i="4"/>
  <c r="AH62" i="4"/>
  <c r="AH66" i="4"/>
  <c r="AH70" i="4"/>
  <c r="AH74" i="4"/>
  <c r="AH78" i="4"/>
  <c r="AH82" i="4"/>
  <c r="AH86" i="4"/>
  <c r="AH90" i="4"/>
  <c r="AH94" i="4"/>
  <c r="AH108" i="4"/>
  <c r="AH119" i="4"/>
  <c r="AH130" i="4"/>
  <c r="AH141" i="4"/>
  <c r="AH152" i="4"/>
  <c r="AH159" i="4"/>
  <c r="AH163" i="4"/>
  <c r="AH170" i="4"/>
  <c r="AH38" i="4"/>
  <c r="AH42" i="4"/>
  <c r="AH34" i="4"/>
  <c r="AH101" i="4"/>
  <c r="AH112" i="4"/>
  <c r="AH116" i="4"/>
  <c r="AH123" i="4"/>
  <c r="AH174" i="4"/>
  <c r="AH181" i="4"/>
  <c r="AH168" i="4"/>
  <c r="AH150" i="4"/>
  <c r="AH157" i="4"/>
  <c r="AH161" i="4"/>
  <c r="AH172" i="4"/>
  <c r="AH179" i="4"/>
  <c r="AH118" i="4"/>
  <c r="AH125" i="4"/>
  <c r="AH136" i="4"/>
  <c r="AH140" i="4"/>
  <c r="C23" i="1"/>
  <c r="C3" i="9" s="1"/>
  <c r="C33" i="3"/>
  <c r="C32" i="3"/>
  <c r="Y182" i="4" l="1" a="1"/>
  <c r="Y182" i="4" s="1"/>
  <c r="Y29" i="4" a="1"/>
  <c r="Y29" i="4" s="1"/>
  <c r="Y73" i="4" a="1"/>
  <c r="Y73" i="4" s="1"/>
  <c r="Y144" i="4" a="1"/>
  <c r="Y144" i="4" s="1"/>
  <c r="Y143" i="4" a="1"/>
  <c r="Y143" i="4" s="1"/>
  <c r="Y37" i="4" a="1"/>
  <c r="Y37" i="4" s="1"/>
  <c r="Y61" i="4" a="1"/>
  <c r="Y61" i="4" s="1"/>
  <c r="Y181" i="4" a="1"/>
  <c r="Y181" i="4" s="1"/>
  <c r="Y62" i="4" a="1"/>
  <c r="Y62" i="4" s="1"/>
  <c r="Y168" i="4" a="1"/>
  <c r="Y168" i="4" s="1"/>
  <c r="Y157" i="4" a="1"/>
  <c r="Y157" i="4" s="1"/>
  <c r="Y120" i="4" a="1"/>
  <c r="Y120" i="4" s="1"/>
  <c r="Y171" i="4" a="1"/>
  <c r="Y171" i="4" s="1"/>
  <c r="Y66" i="4" a="1"/>
  <c r="Y66" i="4" s="1"/>
  <c r="Y165" i="4" a="1"/>
  <c r="Y165" i="4" s="1"/>
  <c r="Y158" i="4" a="1"/>
  <c r="Y158" i="4" s="1"/>
  <c r="Y141" i="4" a="1"/>
  <c r="Y141" i="4" s="1"/>
  <c r="Y176" i="4" a="1"/>
  <c r="Y176" i="4" s="1"/>
  <c r="Y105" i="4" a="1"/>
  <c r="Y105" i="4" s="1"/>
  <c r="Y123" i="4" a="1"/>
  <c r="Y123" i="4" s="1"/>
  <c r="Y179" i="4" a="1"/>
  <c r="Y179" i="4" s="1"/>
  <c r="Y65" i="4" a="1"/>
  <c r="Y65" i="4" s="1"/>
  <c r="Y42" i="4" a="1"/>
  <c r="Y42" i="4" s="1"/>
  <c r="Y177" i="4" a="1"/>
  <c r="Y177" i="4" s="1"/>
  <c r="Y43" i="4" a="1"/>
  <c r="Y43" i="4" s="1"/>
  <c r="Y170" i="4" a="1"/>
  <c r="Y170" i="4" s="1"/>
  <c r="Y169" i="4" a="1"/>
  <c r="Y169" i="4" s="1"/>
  <c r="Y69" i="4" a="1"/>
  <c r="Y69" i="4" s="1"/>
  <c r="Y100" i="4" a="1"/>
  <c r="Y100" i="4" s="1"/>
  <c r="Y90" i="4" a="1"/>
  <c r="Y90" i="4" s="1"/>
  <c r="Y44" i="4" a="1"/>
  <c r="Y44" i="4" s="1"/>
  <c r="Y101" i="4" a="1"/>
  <c r="Y101" i="4" s="1"/>
  <c r="Y111" i="4" a="1"/>
  <c r="Y111" i="4" s="1"/>
  <c r="Y60" i="4" a="1"/>
  <c r="Y60" i="4" s="1"/>
  <c r="Y167" i="4" a="1"/>
  <c r="Y167" i="4" s="1"/>
  <c r="Y79" i="4" a="1"/>
  <c r="Y79" i="4" s="1"/>
  <c r="Y49" i="4" a="1"/>
  <c r="Y49" i="4" s="1"/>
  <c r="Y70" i="4" a="1"/>
  <c r="Y70" i="4" s="1"/>
  <c r="Y112" i="4" a="1"/>
  <c r="Y112" i="4" s="1"/>
  <c r="Y50" i="4" a="1"/>
  <c r="Y50" i="4" s="1"/>
  <c r="Y72" i="4" a="1"/>
  <c r="Y72" i="4" s="1"/>
  <c r="Y93" i="4" a="1"/>
  <c r="Y93" i="4" s="1"/>
  <c r="Y156" i="4" a="1"/>
  <c r="Y156" i="4" s="1"/>
  <c r="Y102" i="4" a="1"/>
  <c r="Y102" i="4" s="1"/>
  <c r="Y82" i="4" a="1"/>
  <c r="Y82" i="4" s="1"/>
  <c r="Y56" i="4" a="1"/>
  <c r="Y56" i="4" s="1"/>
  <c r="Y78" i="4" a="1"/>
  <c r="Y78" i="4" s="1"/>
  <c r="Y74" i="4" a="1"/>
  <c r="Y74" i="4" s="1"/>
  <c r="Y113" i="4" a="1"/>
  <c r="Y113" i="4" s="1"/>
  <c r="Y162" i="4" a="1"/>
  <c r="Y162" i="4" s="1"/>
  <c r="Y155" i="4" a="1"/>
  <c r="Y155" i="4" s="1"/>
  <c r="Y57" i="4" a="1"/>
  <c r="Y57" i="4" s="1"/>
  <c r="Y58" i="4" a="1"/>
  <c r="Y58" i="4" s="1"/>
  <c r="Y89" i="4" a="1"/>
  <c r="Y89" i="4" s="1"/>
  <c r="Y136" i="4" a="1"/>
  <c r="Y136" i="4" s="1"/>
  <c r="Y106" i="4" a="1"/>
  <c r="Y106" i="4" s="1"/>
  <c r="Y63" i="4" a="1"/>
  <c r="Y63" i="4" s="1"/>
  <c r="Y147" i="4" a="1"/>
  <c r="Y147" i="4" s="1"/>
  <c r="Y76" i="4" a="1"/>
  <c r="Y76" i="4" s="1"/>
  <c r="Y107" i="4" a="1"/>
  <c r="Y107" i="4" s="1"/>
  <c r="Y131" i="4" a="1"/>
  <c r="Y131" i="4" s="1"/>
  <c r="Y180" i="4" a="1"/>
  <c r="Y180" i="4" s="1"/>
  <c r="Y36" i="4" a="1"/>
  <c r="Y36" i="4" s="1"/>
  <c r="Y53" i="4" a="1"/>
  <c r="Y53" i="4" s="1"/>
  <c r="Y33" i="4" a="1"/>
  <c r="Y33" i="4" s="1"/>
  <c r="Y152" i="4" a="1"/>
  <c r="Y152" i="4" s="1"/>
  <c r="Y51" i="4" a="1"/>
  <c r="Y51" i="4" s="1"/>
  <c r="Y178" i="4" a="1"/>
  <c r="Y178" i="4" s="1"/>
  <c r="Y140" i="4" a="1"/>
  <c r="Y140" i="4" s="1"/>
  <c r="Y119" i="4" a="1"/>
  <c r="Y119" i="4" s="1"/>
  <c r="Y54" i="4" a="1"/>
  <c r="Y54" i="4" s="1"/>
  <c r="Y41" i="4" a="1"/>
  <c r="Y41" i="4" s="1"/>
  <c r="Y64" i="4" a="1"/>
  <c r="Y64" i="4" s="1"/>
  <c r="Y39" i="4" a="1"/>
  <c r="Y39" i="4" s="1"/>
  <c r="Y175" i="4" a="1"/>
  <c r="Y175" i="4" s="1"/>
  <c r="Y34" i="4" a="1"/>
  <c r="Y34" i="4" s="1"/>
  <c r="Y138" i="4" a="1"/>
  <c r="Y138" i="4" s="1"/>
  <c r="Y32" i="4" a="1"/>
  <c r="Y32" i="4" s="1"/>
  <c r="Y160" i="4" a="1"/>
  <c r="Y160" i="4" s="1"/>
  <c r="Y150" i="4" a="1"/>
  <c r="Y150" i="4" s="1"/>
  <c r="Y145" i="4" a="1"/>
  <c r="Y145" i="4" s="1"/>
  <c r="Y97" i="4" a="1"/>
  <c r="Y97" i="4" s="1"/>
  <c r="Y98" i="4" a="1"/>
  <c r="Y98" i="4" s="1"/>
  <c r="Y126" i="4" a="1"/>
  <c r="Y126" i="4" s="1"/>
  <c r="Y31" i="4" a="1"/>
  <c r="Y31" i="4" s="1"/>
  <c r="Y159" i="4" a="1"/>
  <c r="Y159" i="4" s="1"/>
  <c r="Y52" i="4" a="1"/>
  <c r="Y52" i="4" s="1"/>
  <c r="Y166" i="4" a="1"/>
  <c r="Y166" i="4" s="1"/>
  <c r="Y91" i="4" a="1"/>
  <c r="Y91" i="4" s="1"/>
  <c r="Y87" i="4" a="1"/>
  <c r="Y87" i="4" s="1"/>
  <c r="Y81" i="4" a="1"/>
  <c r="Y81" i="4" s="1"/>
  <c r="Y117" i="4" a="1"/>
  <c r="Y117" i="4" s="1"/>
  <c r="Y130" i="4" a="1"/>
  <c r="Y130" i="4" s="1"/>
  <c r="Y153" i="4" a="1"/>
  <c r="Y153" i="4" s="1"/>
  <c r="Y71" i="4" a="1"/>
  <c r="Y71" i="4" s="1"/>
  <c r="Y67" i="4" a="1"/>
  <c r="Y67" i="4" s="1"/>
  <c r="Y88" i="4" a="1"/>
  <c r="Y88" i="4" s="1"/>
  <c r="Y80" i="4" a="1"/>
  <c r="Y80" i="4" s="1"/>
  <c r="Y129" i="4" a="1"/>
  <c r="Y129" i="4" s="1"/>
  <c r="Y104" i="4" a="1"/>
  <c r="Y104" i="4" s="1"/>
  <c r="Y47" i="4" a="1"/>
  <c r="Y47" i="4" s="1"/>
  <c r="Y115" i="4" a="1"/>
  <c r="Y115" i="4" s="1"/>
  <c r="Y121" i="4" a="1"/>
  <c r="Y121" i="4" s="1"/>
  <c r="Y161" i="4" a="1"/>
  <c r="Y161" i="4" s="1"/>
  <c r="Y96" i="4" a="1"/>
  <c r="Y96" i="4" s="1"/>
  <c r="Y109" i="4" a="1"/>
  <c r="Y109" i="4" s="1"/>
  <c r="Y137" i="4" a="1"/>
  <c r="Y137" i="4" s="1"/>
  <c r="Y48" i="4" a="1"/>
  <c r="Y48" i="4" s="1"/>
  <c r="Y139" i="4" a="1"/>
  <c r="Y139" i="4" s="1"/>
  <c r="Y134" i="4" a="1"/>
  <c r="Y134" i="4" s="1"/>
  <c r="Y59" i="4" a="1"/>
  <c r="Y59" i="4" s="1"/>
  <c r="Y116" i="4" a="1"/>
  <c r="Y116" i="4" s="1"/>
  <c r="Y108" i="4" a="1"/>
  <c r="Y108" i="4" s="1"/>
  <c r="Y118" i="4" a="1"/>
  <c r="Y118" i="4" s="1"/>
  <c r="Y92" i="4" a="1"/>
  <c r="Y92" i="4" s="1"/>
  <c r="Y149" i="4" a="1"/>
  <c r="Y149" i="4" s="1"/>
  <c r="Y148" i="4" a="1"/>
  <c r="Y148" i="4" s="1"/>
  <c r="Y127" i="4" a="1"/>
  <c r="Y127" i="4" s="1"/>
  <c r="Y110" i="4" a="1"/>
  <c r="Y110" i="4" s="1"/>
  <c r="Y174" i="4" a="1"/>
  <c r="Y174" i="4" s="1"/>
  <c r="Y40" i="4" a="1"/>
  <c r="Y40" i="4" s="1"/>
  <c r="Y132" i="4" a="1"/>
  <c r="Y132" i="4" s="1"/>
  <c r="Y128" i="4" a="1"/>
  <c r="Y128" i="4" s="1"/>
  <c r="Y154" i="4" a="1"/>
  <c r="Y154" i="4" s="1"/>
  <c r="Y146" i="4" a="1"/>
  <c r="Y146" i="4" s="1"/>
  <c r="Y164" i="4" a="1"/>
  <c r="Y164" i="4" s="1"/>
  <c r="Y95" i="4" a="1"/>
  <c r="Y95" i="4" s="1"/>
  <c r="Y163" i="4" a="1"/>
  <c r="Y163" i="4" s="1"/>
  <c r="Y83" i="4" a="1"/>
  <c r="Y83" i="4" s="1"/>
  <c r="Y30" i="4" a="1"/>
  <c r="Y30" i="4" s="1"/>
  <c r="Y38" i="4" a="1"/>
  <c r="Y38" i="4" s="1"/>
  <c r="Y133" i="4" a="1"/>
  <c r="Y133" i="4" s="1"/>
  <c r="Y85" i="4" a="1"/>
  <c r="Y85" i="4" s="1"/>
  <c r="Y125" i="4" a="1"/>
  <c r="Y125" i="4" s="1"/>
  <c r="Y94" i="4" a="1"/>
  <c r="Y94" i="4" s="1"/>
  <c r="Y135" i="4" a="1"/>
  <c r="Y135" i="4" s="1"/>
  <c r="Y35" i="4" a="1"/>
  <c r="Y35" i="4" s="1"/>
  <c r="Y68" i="4" a="1"/>
  <c r="Y68" i="4" s="1"/>
  <c r="Y86" i="4" a="1"/>
  <c r="Y86" i="4" s="1"/>
  <c r="Y114" i="4" a="1"/>
  <c r="Y114" i="4" s="1"/>
  <c r="Y103" i="4" a="1"/>
  <c r="Y103" i="4" s="1"/>
  <c r="Y124" i="4" a="1"/>
  <c r="Y124" i="4" s="1"/>
  <c r="Y84" i="4" a="1"/>
  <c r="Y84" i="4" s="1"/>
  <c r="Y173" i="4" a="1"/>
  <c r="Y173" i="4" s="1"/>
  <c r="Y75" i="4" a="1"/>
  <c r="Y75" i="4" s="1"/>
  <c r="Y99" i="4" a="1"/>
  <c r="Y99" i="4" s="1"/>
  <c r="Y45" i="4" a="1"/>
  <c r="Y45" i="4" s="1"/>
  <c r="Y142" i="4" a="1"/>
  <c r="Y142" i="4" s="1"/>
  <c r="Y151" i="4" a="1"/>
  <c r="Y151" i="4" s="1"/>
  <c r="Y172" i="4" a="1"/>
  <c r="Y172" i="4" s="1"/>
  <c r="Y77" i="4" a="1"/>
  <c r="Y77" i="4" s="1"/>
  <c r="Y122" i="4" a="1"/>
  <c r="Y122" i="4" s="1"/>
  <c r="Y55" i="4" a="1"/>
  <c r="Y55" i="4" s="1"/>
  <c r="Y46" i="4" a="1"/>
  <c r="Y46" i="4" s="1"/>
  <c r="C27" i="1"/>
  <c r="C29" i="1"/>
  <c r="C16" i="1"/>
  <c r="C15" i="1"/>
  <c r="G21" i="1" s="1"/>
  <c r="C8" i="9" s="1"/>
  <c r="C38" i="1" l="1"/>
  <c r="C39" i="1" s="1"/>
  <c r="C43" i="4" s="1"/>
  <c r="C35" i="1"/>
  <c r="G17" i="1"/>
  <c r="C40" i="1"/>
  <c r="C41" i="1" s="1"/>
  <c r="H3" i="1" s="1"/>
  <c r="G18" i="1" l="1"/>
  <c r="G19" i="1"/>
  <c r="G25" i="1"/>
  <c r="C29" i="3"/>
  <c r="AN182" i="3"/>
  <c r="AO182" i="3"/>
  <c r="AP182" i="3"/>
  <c r="AN176" i="3"/>
  <c r="AO176" i="3"/>
  <c r="AP176" i="3"/>
  <c r="AN177" i="3"/>
  <c r="AO177" i="3"/>
  <c r="AP177" i="3"/>
  <c r="AN178" i="3"/>
  <c r="AO178" i="3"/>
  <c r="AP178" i="3"/>
  <c r="AN179" i="3"/>
  <c r="AO179" i="3"/>
  <c r="AP179" i="3"/>
  <c r="AN180" i="3"/>
  <c r="AO180" i="3"/>
  <c r="AP180" i="3"/>
  <c r="AN181" i="3"/>
  <c r="AO181" i="3"/>
  <c r="AP181" i="3"/>
  <c r="AN111" i="3"/>
  <c r="AO111" i="3"/>
  <c r="AP111" i="3"/>
  <c r="AN112" i="3"/>
  <c r="AO112" i="3"/>
  <c r="AP112" i="3"/>
  <c r="AN113" i="3"/>
  <c r="AO113" i="3"/>
  <c r="AP113" i="3"/>
  <c r="AN114" i="3"/>
  <c r="AO114" i="3"/>
  <c r="AP114" i="3"/>
  <c r="AN115" i="3"/>
  <c r="AO115" i="3"/>
  <c r="AP115" i="3"/>
  <c r="AN116" i="3"/>
  <c r="AO116" i="3"/>
  <c r="AP116" i="3"/>
  <c r="AN117" i="3"/>
  <c r="AO117" i="3"/>
  <c r="AP117" i="3"/>
  <c r="AN118" i="3"/>
  <c r="AO118" i="3"/>
  <c r="AP118" i="3"/>
  <c r="AN119" i="3"/>
  <c r="AO119" i="3"/>
  <c r="AP119" i="3"/>
  <c r="AN120" i="3"/>
  <c r="AO120" i="3"/>
  <c r="AP120" i="3"/>
  <c r="AN121" i="3"/>
  <c r="AO121" i="3"/>
  <c r="AP121" i="3"/>
  <c r="AN122" i="3"/>
  <c r="AO122" i="3"/>
  <c r="AP122" i="3"/>
  <c r="AN123" i="3"/>
  <c r="AO123" i="3"/>
  <c r="AP123" i="3"/>
  <c r="AN124" i="3"/>
  <c r="AO124" i="3"/>
  <c r="AP124" i="3"/>
  <c r="AN125" i="3"/>
  <c r="AO125" i="3"/>
  <c r="AP125" i="3"/>
  <c r="AN126" i="3"/>
  <c r="AO126" i="3"/>
  <c r="AP126" i="3"/>
  <c r="AN127" i="3"/>
  <c r="AO127" i="3"/>
  <c r="AP127" i="3"/>
  <c r="AN128" i="3"/>
  <c r="AO128" i="3"/>
  <c r="AP128" i="3"/>
  <c r="AN129" i="3"/>
  <c r="AO129" i="3"/>
  <c r="AP129" i="3"/>
  <c r="AN130" i="3"/>
  <c r="AO130" i="3"/>
  <c r="AP130" i="3"/>
  <c r="AN131" i="3"/>
  <c r="AO131" i="3"/>
  <c r="AP131" i="3"/>
  <c r="AN132" i="3"/>
  <c r="AO132" i="3"/>
  <c r="AP132" i="3"/>
  <c r="AN133" i="3"/>
  <c r="AO133" i="3"/>
  <c r="AP133" i="3"/>
  <c r="AN134" i="3"/>
  <c r="AO134" i="3"/>
  <c r="AP134" i="3"/>
  <c r="AN135" i="3"/>
  <c r="AO135" i="3"/>
  <c r="AP135" i="3"/>
  <c r="AN136" i="3"/>
  <c r="AO136" i="3"/>
  <c r="AP136" i="3"/>
  <c r="AN137" i="3"/>
  <c r="AO137" i="3"/>
  <c r="AP137" i="3"/>
  <c r="AN138" i="3"/>
  <c r="AO138" i="3"/>
  <c r="AP138" i="3"/>
  <c r="AN139" i="3"/>
  <c r="AO139" i="3"/>
  <c r="AP139" i="3"/>
  <c r="AN140" i="3"/>
  <c r="AO140" i="3"/>
  <c r="AP140" i="3"/>
  <c r="AN141" i="3"/>
  <c r="AO141" i="3"/>
  <c r="AP141" i="3"/>
  <c r="AN142" i="3"/>
  <c r="AO142" i="3"/>
  <c r="AP142" i="3"/>
  <c r="AN143" i="3"/>
  <c r="AO143" i="3"/>
  <c r="AP143" i="3"/>
  <c r="AN144" i="3"/>
  <c r="AO144" i="3"/>
  <c r="AP144" i="3"/>
  <c r="AN145" i="3"/>
  <c r="AO145" i="3"/>
  <c r="AP145" i="3"/>
  <c r="AN146" i="3"/>
  <c r="AO146" i="3"/>
  <c r="AP146" i="3"/>
  <c r="AN147" i="3"/>
  <c r="AO147" i="3"/>
  <c r="AP147" i="3"/>
  <c r="AN148" i="3"/>
  <c r="AO148" i="3"/>
  <c r="AP148" i="3"/>
  <c r="AN149" i="3"/>
  <c r="AO149" i="3"/>
  <c r="AP149" i="3"/>
  <c r="AN150" i="3"/>
  <c r="AO150" i="3"/>
  <c r="AP150" i="3"/>
  <c r="AN151" i="3"/>
  <c r="AO151" i="3"/>
  <c r="AP151" i="3"/>
  <c r="AN152" i="3"/>
  <c r="AO152" i="3"/>
  <c r="AP152" i="3"/>
  <c r="AN153" i="3"/>
  <c r="AO153" i="3"/>
  <c r="AP153" i="3"/>
  <c r="AN154" i="3"/>
  <c r="AO154" i="3"/>
  <c r="AP154" i="3"/>
  <c r="AN155" i="3"/>
  <c r="AO155" i="3"/>
  <c r="AP155" i="3"/>
  <c r="AN156" i="3"/>
  <c r="AO156" i="3"/>
  <c r="AP156" i="3"/>
  <c r="AN157" i="3"/>
  <c r="AO157" i="3"/>
  <c r="AP157" i="3"/>
  <c r="AN158" i="3"/>
  <c r="AO158" i="3"/>
  <c r="AP158" i="3"/>
  <c r="AN159" i="3"/>
  <c r="AO159" i="3"/>
  <c r="AP159" i="3"/>
  <c r="AN160" i="3"/>
  <c r="AO160" i="3"/>
  <c r="AP160" i="3"/>
  <c r="AN161" i="3"/>
  <c r="AO161" i="3"/>
  <c r="AP161" i="3"/>
  <c r="AN162" i="3"/>
  <c r="AO162" i="3"/>
  <c r="AP162" i="3"/>
  <c r="AN163" i="3"/>
  <c r="AO163" i="3"/>
  <c r="AP163" i="3"/>
  <c r="AN164" i="3"/>
  <c r="AO164" i="3"/>
  <c r="AP164" i="3"/>
  <c r="AN165" i="3"/>
  <c r="AO165" i="3"/>
  <c r="AP165" i="3"/>
  <c r="AN166" i="3"/>
  <c r="AO166" i="3"/>
  <c r="AP166" i="3"/>
  <c r="AN167" i="3"/>
  <c r="AO167" i="3"/>
  <c r="AP167" i="3"/>
  <c r="AN168" i="3"/>
  <c r="AO168" i="3"/>
  <c r="AP168" i="3"/>
  <c r="AN169" i="3"/>
  <c r="AO169" i="3"/>
  <c r="AP169" i="3"/>
  <c r="AN170" i="3"/>
  <c r="AO170" i="3"/>
  <c r="AP170" i="3"/>
  <c r="AN171" i="3"/>
  <c r="AO171" i="3"/>
  <c r="AP171" i="3"/>
  <c r="AN172" i="3"/>
  <c r="AO172" i="3"/>
  <c r="AP172" i="3"/>
  <c r="AN173" i="3"/>
  <c r="AO173" i="3"/>
  <c r="AP173" i="3"/>
  <c r="AN174" i="3"/>
  <c r="AO174" i="3"/>
  <c r="AP174" i="3"/>
  <c r="AN175" i="3"/>
  <c r="AO175" i="3"/>
  <c r="AP175" i="3"/>
  <c r="AQ172" i="3" l="1"/>
  <c r="AQ164" i="3"/>
  <c r="AQ160" i="3"/>
  <c r="AQ156" i="3"/>
  <c r="AQ152" i="3"/>
  <c r="AQ144" i="3"/>
  <c r="AQ140" i="3"/>
  <c r="AQ136" i="3"/>
  <c r="AQ132" i="3"/>
  <c r="AQ128" i="3"/>
  <c r="AQ124" i="3"/>
  <c r="AQ120" i="3"/>
  <c r="AQ116" i="3"/>
  <c r="AQ112" i="3"/>
  <c r="AQ179" i="3"/>
  <c r="AQ168" i="3"/>
  <c r="AQ148" i="3"/>
  <c r="AQ173" i="3"/>
  <c r="AQ169" i="3"/>
  <c r="AQ165" i="3"/>
  <c r="AQ161" i="3"/>
  <c r="AQ157" i="3"/>
  <c r="AQ153" i="3"/>
  <c r="AQ149" i="3"/>
  <c r="AQ145" i="3"/>
  <c r="AQ141" i="3"/>
  <c r="AQ137" i="3"/>
  <c r="AQ133" i="3"/>
  <c r="AQ129" i="3"/>
  <c r="AQ125" i="3"/>
  <c r="AQ121" i="3"/>
  <c r="AQ117" i="3"/>
  <c r="AQ113" i="3"/>
  <c r="AQ180" i="3"/>
  <c r="AQ176" i="3"/>
  <c r="AQ182" i="3"/>
  <c r="AQ175" i="3"/>
  <c r="AQ171" i="3"/>
  <c r="AQ167" i="3"/>
  <c r="AQ163" i="3"/>
  <c r="AQ159" i="3"/>
  <c r="AQ155" i="3"/>
  <c r="AQ151" i="3"/>
  <c r="AQ147" i="3"/>
  <c r="AQ143" i="3"/>
  <c r="AQ139" i="3"/>
  <c r="AQ135" i="3"/>
  <c r="AQ131" i="3"/>
  <c r="AQ127" i="3"/>
  <c r="AQ123" i="3"/>
  <c r="AQ119" i="3"/>
  <c r="AQ115" i="3"/>
  <c r="AQ111" i="3"/>
  <c r="AQ178" i="3"/>
  <c r="AQ174" i="3"/>
  <c r="AQ170" i="3"/>
  <c r="AQ166" i="3"/>
  <c r="AQ162" i="3"/>
  <c r="AQ158" i="3"/>
  <c r="AQ154" i="3"/>
  <c r="AQ150" i="3"/>
  <c r="AQ146" i="3"/>
  <c r="AQ142" i="3"/>
  <c r="AQ138" i="3"/>
  <c r="AQ134" i="3"/>
  <c r="AQ130" i="3"/>
  <c r="AQ126" i="3"/>
  <c r="AQ122" i="3"/>
  <c r="AQ118" i="3"/>
  <c r="AQ114" i="3"/>
  <c r="AQ181" i="3"/>
  <c r="AQ177" i="3"/>
  <c r="C59" i="3"/>
  <c r="C101" i="3"/>
  <c r="C87" i="3"/>
  <c r="C73" i="3"/>
  <c r="C45" i="3"/>
  <c r="C97" i="3" l="1"/>
  <c r="C69" i="3"/>
  <c r="E21" i="9" s="1"/>
  <c r="C55" i="3"/>
  <c r="D21" i="9" s="1"/>
  <c r="C41" i="3"/>
  <c r="C21" i="9" s="1"/>
  <c r="C83" i="3"/>
  <c r="F21" i="9" s="1"/>
  <c r="E28" i="6"/>
  <c r="D28" i="6"/>
  <c r="C28" i="6"/>
  <c r="E27" i="6"/>
  <c r="D27" i="6"/>
  <c r="C27" i="6"/>
  <c r="E26" i="6"/>
  <c r="D26" i="6"/>
  <c r="C26" i="6"/>
  <c r="L25" i="6"/>
  <c r="K25" i="6"/>
  <c r="J25" i="6"/>
  <c r="I25" i="6"/>
  <c r="H25" i="6"/>
  <c r="G25" i="6"/>
  <c r="E25" i="6"/>
  <c r="D25" i="6"/>
  <c r="C25" i="6"/>
  <c r="E24" i="6"/>
  <c r="D24" i="6"/>
  <c r="C24" i="6"/>
  <c r="E23" i="6"/>
  <c r="D23" i="6"/>
  <c r="C23" i="6"/>
  <c r="E22" i="6"/>
  <c r="D22" i="6"/>
  <c r="C22" i="6"/>
  <c r="L21" i="6"/>
  <c r="K21" i="6"/>
  <c r="J21" i="6"/>
  <c r="I21" i="6"/>
  <c r="H21" i="6"/>
  <c r="G21" i="6"/>
  <c r="E21" i="6"/>
  <c r="D21" i="6"/>
  <c r="C21" i="6"/>
  <c r="E20" i="6"/>
  <c r="D20" i="6"/>
  <c r="C20" i="6"/>
  <c r="E19" i="6"/>
  <c r="D19" i="6"/>
  <c r="C19" i="6"/>
  <c r="E18" i="6"/>
  <c r="D18" i="6"/>
  <c r="C18" i="6"/>
  <c r="L17" i="6"/>
  <c r="K17" i="6"/>
  <c r="J17" i="6"/>
  <c r="I17" i="6"/>
  <c r="H17" i="6"/>
  <c r="G17" i="6"/>
  <c r="E17" i="6"/>
  <c r="D17" i="6"/>
  <c r="C17" i="6"/>
  <c r="E16" i="6"/>
  <c r="D16" i="6"/>
  <c r="C16" i="6"/>
  <c r="E15" i="6"/>
  <c r="D15" i="6"/>
  <c r="C15" i="6"/>
  <c r="E14" i="6"/>
  <c r="D14" i="6"/>
  <c r="C14" i="6"/>
  <c r="E13" i="6"/>
  <c r="D13" i="6"/>
  <c r="C13" i="6"/>
  <c r="L12" i="6"/>
  <c r="K12" i="6"/>
  <c r="J12" i="6"/>
  <c r="I12" i="6"/>
  <c r="H12" i="6"/>
  <c r="G12" i="6"/>
  <c r="E12" i="6"/>
  <c r="D12" i="6"/>
  <c r="C12" i="6"/>
  <c r="E11" i="6"/>
  <c r="D11" i="6"/>
  <c r="C11" i="6"/>
  <c r="E10" i="6"/>
  <c r="D10" i="6"/>
  <c r="C10" i="6"/>
  <c r="E9" i="6"/>
  <c r="D9" i="6"/>
  <c r="C9" i="6"/>
  <c r="L8" i="6"/>
  <c r="K8" i="6"/>
  <c r="J8" i="6"/>
  <c r="I8" i="6"/>
  <c r="H8" i="6"/>
  <c r="G8" i="6"/>
  <c r="E8" i="6"/>
  <c r="D8" i="6"/>
  <c r="C8" i="6"/>
  <c r="E7" i="6"/>
  <c r="D7" i="6"/>
  <c r="C7" i="6"/>
  <c r="E6" i="6"/>
  <c r="D6" i="6"/>
  <c r="C6" i="6"/>
  <c r="E5" i="6"/>
  <c r="D5" i="6"/>
  <c r="C5" i="6"/>
  <c r="L4" i="6"/>
  <c r="K4" i="6"/>
  <c r="J4" i="6"/>
  <c r="I4" i="6"/>
  <c r="H4" i="6"/>
  <c r="G4" i="6"/>
  <c r="E4" i="6"/>
  <c r="D4" i="6"/>
  <c r="C4" i="6"/>
  <c r="AX87" i="7"/>
  <c r="AW87" i="7"/>
  <c r="AV87" i="7"/>
  <c r="AS87" i="7"/>
  <c r="AR87" i="7"/>
  <c r="AQ87" i="7"/>
  <c r="AN87" i="7"/>
  <c r="AM87" i="7"/>
  <c r="AL87" i="7"/>
  <c r="AI87" i="7"/>
  <c r="AH87" i="7"/>
  <c r="AG87" i="7"/>
  <c r="AD87" i="7"/>
  <c r="AC87" i="7"/>
  <c r="AB87" i="7"/>
  <c r="Y87" i="7"/>
  <c r="X87" i="7"/>
  <c r="W87" i="7"/>
  <c r="T87" i="7"/>
  <c r="S87" i="7"/>
  <c r="R87" i="7"/>
  <c r="AX86" i="7"/>
  <c r="AW86" i="7"/>
  <c r="AV86" i="7"/>
  <c r="AY86" i="7" s="1"/>
  <c r="AS86" i="7"/>
  <c r="AR86" i="7"/>
  <c r="AQ86" i="7"/>
  <c r="AN86" i="7"/>
  <c r="AM86" i="7"/>
  <c r="AL86" i="7"/>
  <c r="AI86" i="7"/>
  <c r="AH86" i="7"/>
  <c r="AG86" i="7"/>
  <c r="AD86" i="7"/>
  <c r="AC86" i="7"/>
  <c r="AB86" i="7"/>
  <c r="Y86" i="7"/>
  <c r="X86" i="7"/>
  <c r="W86" i="7"/>
  <c r="T86" i="7"/>
  <c r="S86" i="7"/>
  <c r="R86" i="7"/>
  <c r="AX85" i="7"/>
  <c r="AW85" i="7"/>
  <c r="AV85" i="7"/>
  <c r="AS85" i="7"/>
  <c r="AR85" i="7"/>
  <c r="AQ85" i="7"/>
  <c r="AT85" i="7" s="1"/>
  <c r="AN85" i="7"/>
  <c r="AM85" i="7"/>
  <c r="AL85" i="7"/>
  <c r="AI85" i="7"/>
  <c r="AH85" i="7"/>
  <c r="AG85" i="7"/>
  <c r="AD85" i="7"/>
  <c r="AC85" i="7"/>
  <c r="AB85" i="7"/>
  <c r="Y85" i="7"/>
  <c r="X85" i="7"/>
  <c r="W85" i="7"/>
  <c r="T85" i="7"/>
  <c r="S85" i="7"/>
  <c r="R85" i="7"/>
  <c r="AX84" i="7"/>
  <c r="AW84" i="7"/>
  <c r="AV84" i="7"/>
  <c r="AS84" i="7"/>
  <c r="AR84" i="7"/>
  <c r="AQ84" i="7"/>
  <c r="AN84" i="7"/>
  <c r="AM84" i="7"/>
  <c r="AL84" i="7"/>
  <c r="AI84" i="7"/>
  <c r="AH84" i="7"/>
  <c r="AG84" i="7"/>
  <c r="AD84" i="7"/>
  <c r="AC84" i="7"/>
  <c r="AB84" i="7"/>
  <c r="Y84" i="7"/>
  <c r="X84" i="7"/>
  <c r="W84" i="7"/>
  <c r="T84" i="7"/>
  <c r="S84" i="7"/>
  <c r="R84" i="7"/>
  <c r="AX83" i="7"/>
  <c r="AW83" i="7"/>
  <c r="AV83" i="7"/>
  <c r="AS83" i="7"/>
  <c r="AR83" i="7"/>
  <c r="AQ83" i="7"/>
  <c r="AN83" i="7"/>
  <c r="AM83" i="7"/>
  <c r="AL83" i="7"/>
  <c r="AI83" i="7"/>
  <c r="AH83" i="7"/>
  <c r="AG83" i="7"/>
  <c r="AD83" i="7"/>
  <c r="AC83" i="7"/>
  <c r="AB83" i="7"/>
  <c r="Y83" i="7"/>
  <c r="X83" i="7"/>
  <c r="W83" i="7"/>
  <c r="T83" i="7"/>
  <c r="S83" i="7"/>
  <c r="R83" i="7"/>
  <c r="AX82" i="7"/>
  <c r="AW82" i="7"/>
  <c r="AV82" i="7"/>
  <c r="AS82" i="7"/>
  <c r="AR82" i="7"/>
  <c r="AQ82" i="7"/>
  <c r="AN82" i="7"/>
  <c r="AM82" i="7"/>
  <c r="AL82" i="7"/>
  <c r="AI82" i="7"/>
  <c r="AH82" i="7"/>
  <c r="AG82" i="7"/>
  <c r="AD82" i="7"/>
  <c r="AC82" i="7"/>
  <c r="AB82" i="7"/>
  <c r="Y82" i="7"/>
  <c r="X82" i="7"/>
  <c r="W82" i="7"/>
  <c r="T82" i="7"/>
  <c r="S82" i="7"/>
  <c r="R82" i="7"/>
  <c r="AX81" i="7"/>
  <c r="AW81" i="7"/>
  <c r="AV81" i="7"/>
  <c r="AS81" i="7"/>
  <c r="AR81" i="7"/>
  <c r="AQ81" i="7"/>
  <c r="AN81" i="7"/>
  <c r="AM81" i="7"/>
  <c r="AL81" i="7"/>
  <c r="AI81" i="7"/>
  <c r="AH81" i="7"/>
  <c r="AG81" i="7"/>
  <c r="AJ81" i="7" s="1"/>
  <c r="AD81" i="7"/>
  <c r="AC81" i="7"/>
  <c r="AB81" i="7"/>
  <c r="Y81" i="7"/>
  <c r="X81" i="7"/>
  <c r="W81" i="7"/>
  <c r="T81" i="7"/>
  <c r="S81" i="7"/>
  <c r="R81" i="7"/>
  <c r="AX80" i="7"/>
  <c r="AW80" i="7"/>
  <c r="AV80" i="7"/>
  <c r="AS80" i="7"/>
  <c r="AR80" i="7"/>
  <c r="AQ80" i="7"/>
  <c r="AN80" i="7"/>
  <c r="AM80" i="7"/>
  <c r="AL80" i="7"/>
  <c r="AI80" i="7"/>
  <c r="AH80" i="7"/>
  <c r="AG80" i="7"/>
  <c r="AD80" i="7"/>
  <c r="AC80" i="7"/>
  <c r="AB80" i="7"/>
  <c r="AE80" i="7" s="1"/>
  <c r="Y80" i="7"/>
  <c r="X80" i="7"/>
  <c r="W80" i="7"/>
  <c r="T80" i="7"/>
  <c r="S80" i="7"/>
  <c r="R80" i="7"/>
  <c r="AX79" i="7"/>
  <c r="AW79" i="7"/>
  <c r="AV79" i="7"/>
  <c r="AS79" i="7"/>
  <c r="AR79" i="7"/>
  <c r="AQ79" i="7"/>
  <c r="AN79" i="7"/>
  <c r="AM79" i="7"/>
  <c r="AL79" i="7"/>
  <c r="AI79" i="7"/>
  <c r="AH79" i="7"/>
  <c r="AG79" i="7"/>
  <c r="AD79" i="7"/>
  <c r="AC79" i="7"/>
  <c r="AB79" i="7"/>
  <c r="Y79" i="7"/>
  <c r="X79" i="7"/>
  <c r="W79" i="7"/>
  <c r="Z79" i="7" s="1"/>
  <c r="T79" i="7"/>
  <c r="S79" i="7"/>
  <c r="R79" i="7"/>
  <c r="AX78" i="7"/>
  <c r="AW78" i="7"/>
  <c r="AV78" i="7"/>
  <c r="AY78" i="7" s="1"/>
  <c r="AS78" i="7"/>
  <c r="AR78" i="7"/>
  <c r="AQ78" i="7"/>
  <c r="AN78" i="7"/>
  <c r="AM78" i="7"/>
  <c r="AL78" i="7"/>
  <c r="AI78" i="7"/>
  <c r="AH78" i="7"/>
  <c r="AG78" i="7"/>
  <c r="AD78" i="7"/>
  <c r="AC78" i="7"/>
  <c r="AB78" i="7"/>
  <c r="Y78" i="7"/>
  <c r="X78" i="7"/>
  <c r="W78" i="7"/>
  <c r="T78" i="7"/>
  <c r="S78" i="7"/>
  <c r="R78" i="7"/>
  <c r="U78" i="7" s="1"/>
  <c r="AX77" i="7"/>
  <c r="AW77" i="7"/>
  <c r="AV77" i="7"/>
  <c r="AS77" i="7"/>
  <c r="AR77" i="7"/>
  <c r="AQ77" i="7"/>
  <c r="AT77" i="7" s="1"/>
  <c r="AN77" i="7"/>
  <c r="AM77" i="7"/>
  <c r="AL77" i="7"/>
  <c r="AI77" i="7"/>
  <c r="AH77" i="7"/>
  <c r="AG77" i="7"/>
  <c r="AD77" i="7"/>
  <c r="AC77" i="7"/>
  <c r="AB77" i="7"/>
  <c r="Y77" i="7"/>
  <c r="X77" i="7"/>
  <c r="W77" i="7"/>
  <c r="T77" i="7"/>
  <c r="S77" i="7"/>
  <c r="R77" i="7"/>
  <c r="AX76" i="7"/>
  <c r="AW76" i="7"/>
  <c r="AV76" i="7"/>
  <c r="AY76" i="7" s="1"/>
  <c r="AS76" i="7"/>
  <c r="AR76" i="7"/>
  <c r="AQ76" i="7"/>
  <c r="AT76" i="7" s="1"/>
  <c r="AN76" i="7"/>
  <c r="AM76" i="7"/>
  <c r="AL76" i="7"/>
  <c r="AI76" i="7"/>
  <c r="AH76" i="7"/>
  <c r="AG76" i="7"/>
  <c r="AD76" i="7"/>
  <c r="AC76" i="7"/>
  <c r="AB76" i="7"/>
  <c r="Y76" i="7"/>
  <c r="X76" i="7"/>
  <c r="W76" i="7"/>
  <c r="T76" i="7"/>
  <c r="S76" i="7"/>
  <c r="R76" i="7"/>
  <c r="AX75" i="7"/>
  <c r="AW75" i="7"/>
  <c r="AV75" i="7"/>
  <c r="AS75" i="7"/>
  <c r="AR75" i="7"/>
  <c r="AQ75" i="7"/>
  <c r="AT75" i="7" s="1"/>
  <c r="AN75" i="7"/>
  <c r="AM75" i="7"/>
  <c r="AL75" i="7"/>
  <c r="AI75" i="7"/>
  <c r="AH75" i="7"/>
  <c r="AG75" i="7"/>
  <c r="AD75" i="7"/>
  <c r="AC75" i="7"/>
  <c r="AB75" i="7"/>
  <c r="Y75" i="7"/>
  <c r="X75" i="7"/>
  <c r="W75" i="7"/>
  <c r="T75" i="7"/>
  <c r="S75" i="7"/>
  <c r="R75" i="7"/>
  <c r="AX74" i="7"/>
  <c r="AW74" i="7"/>
  <c r="AV74" i="7"/>
  <c r="AS74" i="7"/>
  <c r="AR74" i="7"/>
  <c r="AQ74" i="7"/>
  <c r="AN74" i="7"/>
  <c r="AM74" i="7"/>
  <c r="AL74" i="7"/>
  <c r="AO74" i="7" s="1"/>
  <c r="AI74" i="7"/>
  <c r="AH74" i="7"/>
  <c r="AG74" i="7"/>
  <c r="AD74" i="7"/>
  <c r="AC74" i="7"/>
  <c r="AB74" i="7"/>
  <c r="Y74" i="7"/>
  <c r="X74" i="7"/>
  <c r="W74" i="7"/>
  <c r="T74" i="7"/>
  <c r="S74" i="7"/>
  <c r="R74" i="7"/>
  <c r="AX73" i="7"/>
  <c r="AW73" i="7"/>
  <c r="AV73" i="7"/>
  <c r="AS73" i="7"/>
  <c r="AR73" i="7"/>
  <c r="AQ73" i="7"/>
  <c r="AN73" i="7"/>
  <c r="AM73" i="7"/>
  <c r="AL73" i="7"/>
  <c r="AI73" i="7"/>
  <c r="AH73" i="7"/>
  <c r="AG73" i="7"/>
  <c r="AJ73" i="7" s="1"/>
  <c r="AD73" i="7"/>
  <c r="AC73" i="7"/>
  <c r="AB73" i="7"/>
  <c r="Y73" i="7"/>
  <c r="X73" i="7"/>
  <c r="W73" i="7"/>
  <c r="T73" i="7"/>
  <c r="S73" i="7"/>
  <c r="R73" i="7"/>
  <c r="AX72" i="7"/>
  <c r="AW72" i="7"/>
  <c r="AV72" i="7"/>
  <c r="AS72" i="7"/>
  <c r="AR72" i="7"/>
  <c r="AQ72" i="7"/>
  <c r="AN72" i="7"/>
  <c r="AM72" i="7"/>
  <c r="AL72" i="7"/>
  <c r="AI72" i="7"/>
  <c r="AH72" i="7"/>
  <c r="AG72" i="7"/>
  <c r="AD72" i="7"/>
  <c r="AC72" i="7"/>
  <c r="AB72" i="7"/>
  <c r="AE72" i="7" s="1"/>
  <c r="Y72" i="7"/>
  <c r="X72" i="7"/>
  <c r="W72" i="7"/>
  <c r="T72" i="7"/>
  <c r="S72" i="7"/>
  <c r="R72" i="7"/>
  <c r="AX71" i="7"/>
  <c r="AW71" i="7"/>
  <c r="AV71" i="7"/>
  <c r="AS71" i="7"/>
  <c r="AR71" i="7"/>
  <c r="AQ71" i="7"/>
  <c r="AN71" i="7"/>
  <c r="AM71" i="7"/>
  <c r="AL71" i="7"/>
  <c r="AI71" i="7"/>
  <c r="AH71" i="7"/>
  <c r="AG71" i="7"/>
  <c r="AD71" i="7"/>
  <c r="AC71" i="7"/>
  <c r="AB71" i="7"/>
  <c r="Y71" i="7"/>
  <c r="X71" i="7"/>
  <c r="W71" i="7"/>
  <c r="Z71" i="7" s="1"/>
  <c r="T71" i="7"/>
  <c r="S71" i="7"/>
  <c r="R71" i="7"/>
  <c r="U71" i="7" s="1"/>
  <c r="AX70" i="7"/>
  <c r="AW70" i="7"/>
  <c r="AV70" i="7"/>
  <c r="AS70" i="7"/>
  <c r="AR70" i="7"/>
  <c r="AQ70" i="7"/>
  <c r="AN70" i="7"/>
  <c r="AM70" i="7"/>
  <c r="AL70" i="7"/>
  <c r="AI70" i="7"/>
  <c r="AH70" i="7"/>
  <c r="AG70" i="7"/>
  <c r="AD70" i="7"/>
  <c r="AC70" i="7"/>
  <c r="AB70" i="7"/>
  <c r="Y70" i="7"/>
  <c r="X70" i="7"/>
  <c r="W70" i="7"/>
  <c r="T70" i="7"/>
  <c r="S70" i="7"/>
  <c r="R70" i="7"/>
  <c r="U70" i="7" s="1"/>
  <c r="AX69" i="7"/>
  <c r="AW69" i="7"/>
  <c r="AV69" i="7"/>
  <c r="AS69" i="7"/>
  <c r="AR69" i="7"/>
  <c r="AQ69" i="7"/>
  <c r="AT69" i="7" s="1"/>
  <c r="AN69" i="7"/>
  <c r="AM69" i="7"/>
  <c r="AL69" i="7"/>
  <c r="AI69" i="7"/>
  <c r="AH69" i="7"/>
  <c r="AG69" i="7"/>
  <c r="AD69" i="7"/>
  <c r="AC69" i="7"/>
  <c r="AB69" i="7"/>
  <c r="Y69" i="7"/>
  <c r="X69" i="7"/>
  <c r="W69" i="7"/>
  <c r="T69" i="7"/>
  <c r="S69" i="7"/>
  <c r="R69" i="7"/>
  <c r="AX68" i="7"/>
  <c r="AW68" i="7"/>
  <c r="AV68" i="7"/>
  <c r="AS68" i="7"/>
  <c r="AR68" i="7"/>
  <c r="AQ68" i="7"/>
  <c r="AN68" i="7"/>
  <c r="AM68" i="7"/>
  <c r="AL68" i="7"/>
  <c r="AI68" i="7"/>
  <c r="AH68" i="7"/>
  <c r="AG68" i="7"/>
  <c r="AD68" i="7"/>
  <c r="AC68" i="7"/>
  <c r="AB68" i="7"/>
  <c r="Y68" i="7"/>
  <c r="X68" i="7"/>
  <c r="W68" i="7"/>
  <c r="T68" i="7"/>
  <c r="S68" i="7"/>
  <c r="R68" i="7"/>
  <c r="AX67" i="7"/>
  <c r="AW67" i="7"/>
  <c r="AV67" i="7"/>
  <c r="AS67" i="7"/>
  <c r="AR67" i="7"/>
  <c r="AQ67" i="7"/>
  <c r="AN67" i="7"/>
  <c r="AM67" i="7"/>
  <c r="AL67" i="7"/>
  <c r="AO67" i="7" s="1"/>
  <c r="AI67" i="7"/>
  <c r="AH67" i="7"/>
  <c r="AG67" i="7"/>
  <c r="AD67" i="7"/>
  <c r="AC67" i="7"/>
  <c r="AB67" i="7"/>
  <c r="Y67" i="7"/>
  <c r="X67" i="7"/>
  <c r="W67" i="7"/>
  <c r="T67" i="7"/>
  <c r="S67" i="7"/>
  <c r="R67" i="7"/>
  <c r="AX66" i="7"/>
  <c r="AW66" i="7"/>
  <c r="AV66" i="7"/>
  <c r="AS66" i="7"/>
  <c r="AR66" i="7"/>
  <c r="AQ66" i="7"/>
  <c r="AN66" i="7"/>
  <c r="AM66" i="7"/>
  <c r="AL66" i="7"/>
  <c r="AI66" i="7"/>
  <c r="AH66" i="7"/>
  <c r="AG66" i="7"/>
  <c r="AD66" i="7"/>
  <c r="AC66" i="7"/>
  <c r="AB66" i="7"/>
  <c r="Y66" i="7"/>
  <c r="X66" i="7"/>
  <c r="W66" i="7"/>
  <c r="T66" i="7"/>
  <c r="S66" i="7"/>
  <c r="R66" i="7"/>
  <c r="C66" i="7"/>
  <c r="AX65" i="7"/>
  <c r="AW65" i="7"/>
  <c r="AV65" i="7"/>
  <c r="AS65" i="7"/>
  <c r="AR65" i="7"/>
  <c r="AQ65" i="7"/>
  <c r="AN65" i="7"/>
  <c r="AM65" i="7"/>
  <c r="AL65" i="7"/>
  <c r="AI65" i="7"/>
  <c r="AH65" i="7"/>
  <c r="AG65" i="7"/>
  <c r="AD65" i="7"/>
  <c r="AC65" i="7"/>
  <c r="AB65" i="7"/>
  <c r="Y65" i="7"/>
  <c r="X65" i="7"/>
  <c r="W65" i="7"/>
  <c r="T65" i="7"/>
  <c r="U65" i="7" s="1"/>
  <c r="S65" i="7"/>
  <c r="R65" i="7"/>
  <c r="C65" i="7"/>
  <c r="AX64" i="7"/>
  <c r="AW64" i="7"/>
  <c r="AV64" i="7"/>
  <c r="AS64" i="7"/>
  <c r="AR64" i="7"/>
  <c r="AQ64" i="7"/>
  <c r="AN64" i="7"/>
  <c r="AM64" i="7"/>
  <c r="AL64" i="7"/>
  <c r="AI64" i="7"/>
  <c r="AH64" i="7"/>
  <c r="AG64" i="7"/>
  <c r="AD64" i="7"/>
  <c r="AE64" i="7" s="1"/>
  <c r="AC64" i="7"/>
  <c r="AB64" i="7"/>
  <c r="Y64" i="7"/>
  <c r="X64" i="7"/>
  <c r="W64" i="7"/>
  <c r="T64" i="7"/>
  <c r="S64" i="7"/>
  <c r="R64" i="7"/>
  <c r="C64" i="7"/>
  <c r="AX63" i="7"/>
  <c r="AW63" i="7"/>
  <c r="AV63" i="7"/>
  <c r="AS63" i="7"/>
  <c r="AR63" i="7"/>
  <c r="AQ63" i="7"/>
  <c r="AN63" i="7"/>
  <c r="AM63" i="7"/>
  <c r="AL63" i="7"/>
  <c r="AI63" i="7"/>
  <c r="AH63" i="7"/>
  <c r="AG63" i="7"/>
  <c r="AD63" i="7"/>
  <c r="AC63" i="7"/>
  <c r="AB63" i="7"/>
  <c r="Y63" i="7"/>
  <c r="X63" i="7"/>
  <c r="W63" i="7"/>
  <c r="T63" i="7"/>
  <c r="S63" i="7"/>
  <c r="R63" i="7"/>
  <c r="C63" i="7"/>
  <c r="AX62" i="7"/>
  <c r="AW62" i="7"/>
  <c r="AV62" i="7"/>
  <c r="AS62" i="7"/>
  <c r="AR62" i="7"/>
  <c r="AQ62" i="7"/>
  <c r="AN62" i="7"/>
  <c r="AM62" i="7"/>
  <c r="AL62" i="7"/>
  <c r="AI62" i="7"/>
  <c r="AH62" i="7"/>
  <c r="AG62" i="7"/>
  <c r="AD62" i="7"/>
  <c r="AC62" i="7"/>
  <c r="AB62" i="7"/>
  <c r="Y62" i="7"/>
  <c r="X62" i="7"/>
  <c r="W62" i="7"/>
  <c r="T62" i="7"/>
  <c r="S62" i="7"/>
  <c r="R62" i="7"/>
  <c r="AX61" i="7"/>
  <c r="AW61" i="7"/>
  <c r="AV61" i="7"/>
  <c r="AS61" i="7"/>
  <c r="AR61" i="7"/>
  <c r="AQ61" i="7"/>
  <c r="AN61" i="7"/>
  <c r="AM61" i="7"/>
  <c r="AL61" i="7"/>
  <c r="AI61" i="7"/>
  <c r="AH61" i="7"/>
  <c r="AG61" i="7"/>
  <c r="AD61" i="7"/>
  <c r="AC61" i="7"/>
  <c r="AB61" i="7"/>
  <c r="Y61" i="7"/>
  <c r="X61" i="7"/>
  <c r="W61" i="7"/>
  <c r="T61" i="7"/>
  <c r="S61" i="7"/>
  <c r="R61" i="7"/>
  <c r="AX60" i="7"/>
  <c r="AW60" i="7"/>
  <c r="AV60" i="7"/>
  <c r="AS60" i="7"/>
  <c r="AR60" i="7"/>
  <c r="AQ60" i="7"/>
  <c r="AN60" i="7"/>
  <c r="AM60" i="7"/>
  <c r="AL60" i="7"/>
  <c r="AI60" i="7"/>
  <c r="AH60" i="7"/>
  <c r="AG60" i="7"/>
  <c r="AD60" i="7"/>
  <c r="AC60" i="7"/>
  <c r="AB60" i="7"/>
  <c r="Y60" i="7"/>
  <c r="X60" i="7"/>
  <c r="W60" i="7"/>
  <c r="T60" i="7"/>
  <c r="S60" i="7"/>
  <c r="R60" i="7"/>
  <c r="AX59" i="7"/>
  <c r="AW59" i="7"/>
  <c r="AV59" i="7"/>
  <c r="AS59" i="7"/>
  <c r="AR59" i="7"/>
  <c r="AQ59" i="7"/>
  <c r="AN59" i="7"/>
  <c r="AM59" i="7"/>
  <c r="AL59" i="7"/>
  <c r="AI59" i="7"/>
  <c r="AH59" i="7"/>
  <c r="AG59" i="7"/>
  <c r="AD59" i="7"/>
  <c r="AC59" i="7"/>
  <c r="AB59" i="7"/>
  <c r="Y59" i="7"/>
  <c r="X59" i="7"/>
  <c r="W59" i="7"/>
  <c r="T59" i="7"/>
  <c r="S59" i="7"/>
  <c r="R59" i="7"/>
  <c r="AX58" i="7"/>
  <c r="AW58" i="7"/>
  <c r="AV58" i="7"/>
  <c r="AS58" i="7"/>
  <c r="AR58" i="7"/>
  <c r="AQ58" i="7"/>
  <c r="AN58" i="7"/>
  <c r="AM58" i="7"/>
  <c r="AL58" i="7"/>
  <c r="AI58" i="7"/>
  <c r="AH58" i="7"/>
  <c r="AG58" i="7"/>
  <c r="AD58" i="7"/>
  <c r="AC58" i="7"/>
  <c r="AB58" i="7"/>
  <c r="Y58" i="7"/>
  <c r="X58" i="7"/>
  <c r="W58" i="7"/>
  <c r="T58" i="7"/>
  <c r="S58" i="7"/>
  <c r="R58" i="7"/>
  <c r="AX57" i="7"/>
  <c r="AW57" i="7"/>
  <c r="AV57" i="7"/>
  <c r="AS57" i="7"/>
  <c r="AR57" i="7"/>
  <c r="AQ57" i="7"/>
  <c r="AN57" i="7"/>
  <c r="AM57" i="7"/>
  <c r="AL57" i="7"/>
  <c r="AI57" i="7"/>
  <c r="AH57" i="7"/>
  <c r="AG57" i="7"/>
  <c r="AD57" i="7"/>
  <c r="AC57" i="7"/>
  <c r="AB57" i="7"/>
  <c r="Y57" i="7"/>
  <c r="X57" i="7"/>
  <c r="W57" i="7"/>
  <c r="T57" i="7"/>
  <c r="S57" i="7"/>
  <c r="R57" i="7"/>
  <c r="C57" i="7"/>
  <c r="AX56" i="7"/>
  <c r="AW56" i="7"/>
  <c r="AV56" i="7"/>
  <c r="AS56" i="7"/>
  <c r="AR56" i="7"/>
  <c r="AQ56" i="7"/>
  <c r="AN56" i="7"/>
  <c r="AM56" i="7"/>
  <c r="AL56" i="7"/>
  <c r="AI56" i="7"/>
  <c r="AJ56" i="7" s="1"/>
  <c r="AH56" i="7"/>
  <c r="AG56" i="7"/>
  <c r="AD56" i="7"/>
  <c r="AC56" i="7"/>
  <c r="AB56" i="7"/>
  <c r="Y56" i="7"/>
  <c r="X56" i="7"/>
  <c r="W56" i="7"/>
  <c r="T56" i="7"/>
  <c r="S56" i="7"/>
  <c r="R56" i="7"/>
  <c r="C56" i="7"/>
  <c r="AX55" i="7"/>
  <c r="AW55" i="7"/>
  <c r="AV55" i="7"/>
  <c r="AS55" i="7"/>
  <c r="AR55" i="7"/>
  <c r="AQ55" i="7"/>
  <c r="AN55" i="7"/>
  <c r="AO55" i="7" s="1"/>
  <c r="AM55" i="7"/>
  <c r="AL55" i="7"/>
  <c r="AI55" i="7"/>
  <c r="AH55" i="7"/>
  <c r="AG55" i="7"/>
  <c r="AD55" i="7"/>
  <c r="AC55" i="7"/>
  <c r="AB55" i="7"/>
  <c r="Y55" i="7"/>
  <c r="X55" i="7"/>
  <c r="W55" i="7"/>
  <c r="T55" i="7"/>
  <c r="S55" i="7"/>
  <c r="R55" i="7"/>
  <c r="C55" i="7"/>
  <c r="AX54" i="7"/>
  <c r="AW54" i="7"/>
  <c r="AV54" i="7"/>
  <c r="AS54" i="7"/>
  <c r="AR54" i="7"/>
  <c r="AQ54" i="7"/>
  <c r="AN54" i="7"/>
  <c r="AM54" i="7"/>
  <c r="AL54" i="7"/>
  <c r="AI54" i="7"/>
  <c r="AH54" i="7"/>
  <c r="AG54" i="7"/>
  <c r="AD54" i="7"/>
  <c r="AC54" i="7"/>
  <c r="AB54" i="7"/>
  <c r="Y54" i="7"/>
  <c r="X54" i="7"/>
  <c r="W54" i="7"/>
  <c r="T54" i="7"/>
  <c r="S54" i="7"/>
  <c r="R54" i="7"/>
  <c r="C54" i="7"/>
  <c r="AX53" i="7"/>
  <c r="AW53" i="7"/>
  <c r="AV53" i="7"/>
  <c r="AS53" i="7"/>
  <c r="AR53" i="7"/>
  <c r="AQ53" i="7"/>
  <c r="AN53" i="7"/>
  <c r="AM53" i="7"/>
  <c r="AL53" i="7"/>
  <c r="AI53" i="7"/>
  <c r="AH53" i="7"/>
  <c r="AG53" i="7"/>
  <c r="AD53" i="7"/>
  <c r="AC53" i="7"/>
  <c r="AB53" i="7"/>
  <c r="Y53" i="7"/>
  <c r="X53" i="7"/>
  <c r="W53" i="7"/>
  <c r="T53" i="7"/>
  <c r="S53" i="7"/>
  <c r="R53" i="7"/>
  <c r="AX52" i="7"/>
  <c r="AW52" i="7"/>
  <c r="AV52" i="7"/>
  <c r="AS52" i="7"/>
  <c r="AR52" i="7"/>
  <c r="AQ52" i="7"/>
  <c r="AN52" i="7"/>
  <c r="AM52" i="7"/>
  <c r="AL52" i="7"/>
  <c r="AO52" i="7" s="1"/>
  <c r="AI52" i="7"/>
  <c r="AH52" i="7"/>
  <c r="AG52" i="7"/>
  <c r="AD52" i="7"/>
  <c r="AC52" i="7"/>
  <c r="AB52" i="7"/>
  <c r="Y52" i="7"/>
  <c r="X52" i="7"/>
  <c r="W52" i="7"/>
  <c r="T52" i="7"/>
  <c r="S52" i="7"/>
  <c r="R52" i="7"/>
  <c r="AX51" i="7"/>
  <c r="AY51" i="7" s="1"/>
  <c r="AW51" i="7"/>
  <c r="AV51" i="7"/>
  <c r="AS51" i="7"/>
  <c r="AR51" i="7"/>
  <c r="AQ51" i="7"/>
  <c r="AN51" i="7"/>
  <c r="AM51" i="7"/>
  <c r="AL51" i="7"/>
  <c r="AI51" i="7"/>
  <c r="AH51" i="7"/>
  <c r="AG51" i="7"/>
  <c r="AD51" i="7"/>
  <c r="AC51" i="7"/>
  <c r="AB51" i="7"/>
  <c r="Y51" i="7"/>
  <c r="X51" i="7"/>
  <c r="W51" i="7"/>
  <c r="T51" i="7"/>
  <c r="S51" i="7"/>
  <c r="R51" i="7"/>
  <c r="AX50" i="7"/>
  <c r="AW50" i="7"/>
  <c r="AV50" i="7"/>
  <c r="AS50" i="7"/>
  <c r="AR50" i="7"/>
  <c r="AQ50" i="7"/>
  <c r="AN50" i="7"/>
  <c r="AM50" i="7"/>
  <c r="AL50" i="7"/>
  <c r="AI50" i="7"/>
  <c r="AH50" i="7"/>
  <c r="AG50" i="7"/>
  <c r="AD50" i="7"/>
  <c r="AC50" i="7"/>
  <c r="AB50" i="7"/>
  <c r="Y50" i="7"/>
  <c r="X50" i="7"/>
  <c r="W50" i="7"/>
  <c r="T50" i="7"/>
  <c r="S50" i="7"/>
  <c r="R50" i="7"/>
  <c r="AX49" i="7"/>
  <c r="AW49" i="7"/>
  <c r="AV49" i="7"/>
  <c r="AS49" i="7"/>
  <c r="AR49" i="7"/>
  <c r="AQ49" i="7"/>
  <c r="AN49" i="7"/>
  <c r="AO49" i="7" s="1"/>
  <c r="AM49" i="7"/>
  <c r="AL49" i="7"/>
  <c r="AI49" i="7"/>
  <c r="AH49" i="7"/>
  <c r="AG49" i="7"/>
  <c r="AD49" i="7"/>
  <c r="AC49" i="7"/>
  <c r="AB49" i="7"/>
  <c r="Y49" i="7"/>
  <c r="X49" i="7"/>
  <c r="W49" i="7"/>
  <c r="T49" i="7"/>
  <c r="S49" i="7"/>
  <c r="R49" i="7"/>
  <c r="AX48" i="7"/>
  <c r="AW48" i="7"/>
  <c r="AV48" i="7"/>
  <c r="AS48" i="7"/>
  <c r="AR48" i="7"/>
  <c r="AQ48" i="7"/>
  <c r="AN48" i="7"/>
  <c r="AM48" i="7"/>
  <c r="AL48" i="7"/>
  <c r="AI48" i="7"/>
  <c r="AH48" i="7"/>
  <c r="AG48" i="7"/>
  <c r="AD48" i="7"/>
  <c r="AC48" i="7"/>
  <c r="AB48" i="7"/>
  <c r="AE48" i="7" s="1"/>
  <c r="Y48" i="7"/>
  <c r="X48" i="7"/>
  <c r="W48" i="7"/>
  <c r="T48" i="7"/>
  <c r="S48" i="7"/>
  <c r="R48" i="7"/>
  <c r="C48" i="7"/>
  <c r="AX47" i="7"/>
  <c r="AW47" i="7"/>
  <c r="AV47" i="7"/>
  <c r="AS47" i="7"/>
  <c r="AR47" i="7"/>
  <c r="AQ47" i="7"/>
  <c r="AN47" i="7"/>
  <c r="AM47" i="7"/>
  <c r="AL47" i="7"/>
  <c r="AI47" i="7"/>
  <c r="AH47" i="7"/>
  <c r="AG47" i="7"/>
  <c r="AD47" i="7"/>
  <c r="AC47" i="7"/>
  <c r="AB47" i="7"/>
  <c r="Y47" i="7"/>
  <c r="X47" i="7"/>
  <c r="W47" i="7"/>
  <c r="T47" i="7"/>
  <c r="S47" i="7"/>
  <c r="R47" i="7"/>
  <c r="C47" i="7"/>
  <c r="AX46" i="7"/>
  <c r="AW46" i="7"/>
  <c r="AV46" i="7"/>
  <c r="AS46" i="7"/>
  <c r="AR46" i="7"/>
  <c r="AQ46" i="7"/>
  <c r="AN46" i="7"/>
  <c r="AM46" i="7"/>
  <c r="AL46" i="7"/>
  <c r="AI46" i="7"/>
  <c r="AH46" i="7"/>
  <c r="AG46" i="7"/>
  <c r="AD46" i="7"/>
  <c r="AE46" i="7" s="1"/>
  <c r="AC46" i="7"/>
  <c r="AB46" i="7"/>
  <c r="Y46" i="7"/>
  <c r="X46" i="7"/>
  <c r="W46" i="7"/>
  <c r="T46" i="7"/>
  <c r="S46" i="7"/>
  <c r="R46" i="7"/>
  <c r="C46" i="7"/>
  <c r="AX45" i="7"/>
  <c r="AW45" i="7"/>
  <c r="AV45" i="7"/>
  <c r="AS45" i="7"/>
  <c r="AR45" i="7"/>
  <c r="AQ45" i="7"/>
  <c r="AN45" i="7"/>
  <c r="AM45" i="7"/>
  <c r="AL45" i="7"/>
  <c r="AI45" i="7"/>
  <c r="AH45" i="7"/>
  <c r="AG45" i="7"/>
  <c r="AD45" i="7"/>
  <c r="AC45" i="7"/>
  <c r="AB45" i="7"/>
  <c r="Y45" i="7"/>
  <c r="X45" i="7"/>
  <c r="W45" i="7"/>
  <c r="T45" i="7"/>
  <c r="S45" i="7"/>
  <c r="R45" i="7"/>
  <c r="C45" i="7"/>
  <c r="AX44" i="7"/>
  <c r="AW44" i="7"/>
  <c r="AV44" i="7"/>
  <c r="AS44" i="7"/>
  <c r="AR44" i="7"/>
  <c r="AQ44" i="7"/>
  <c r="AN44" i="7"/>
  <c r="AM44" i="7"/>
  <c r="AL44" i="7"/>
  <c r="AI44" i="7"/>
  <c r="AH44" i="7"/>
  <c r="AG44" i="7"/>
  <c r="AD44" i="7"/>
  <c r="AC44" i="7"/>
  <c r="AB44" i="7"/>
  <c r="Y44" i="7"/>
  <c r="X44" i="7"/>
  <c r="W44" i="7"/>
  <c r="T44" i="7"/>
  <c r="S44" i="7"/>
  <c r="R44" i="7"/>
  <c r="AX43" i="7"/>
  <c r="AW43" i="7"/>
  <c r="AV43" i="7"/>
  <c r="AS43" i="7"/>
  <c r="AR43" i="7"/>
  <c r="AQ43" i="7"/>
  <c r="AN43" i="7"/>
  <c r="AM43" i="7"/>
  <c r="AL43" i="7"/>
  <c r="AI43" i="7"/>
  <c r="AH43" i="7"/>
  <c r="AG43" i="7"/>
  <c r="AD43" i="7"/>
  <c r="AC43" i="7"/>
  <c r="AB43" i="7"/>
  <c r="AE43" i="7" s="1"/>
  <c r="Y43" i="7"/>
  <c r="X43" i="7"/>
  <c r="W43" i="7"/>
  <c r="T43" i="7"/>
  <c r="S43" i="7"/>
  <c r="R43" i="7"/>
  <c r="AX42" i="7"/>
  <c r="AW42" i="7"/>
  <c r="AV42" i="7"/>
  <c r="AS42" i="7"/>
  <c r="AR42" i="7"/>
  <c r="AQ42" i="7"/>
  <c r="AN42" i="7"/>
  <c r="AM42" i="7"/>
  <c r="AL42" i="7"/>
  <c r="AI42" i="7"/>
  <c r="AH42" i="7"/>
  <c r="AG42" i="7"/>
  <c r="AD42" i="7"/>
  <c r="AC42" i="7"/>
  <c r="AB42" i="7"/>
  <c r="Y42" i="7"/>
  <c r="X42" i="7"/>
  <c r="W42" i="7"/>
  <c r="T42" i="7"/>
  <c r="S42" i="7"/>
  <c r="R42" i="7"/>
  <c r="AX41" i="7"/>
  <c r="AW41" i="7"/>
  <c r="AV41" i="7"/>
  <c r="AS41" i="7"/>
  <c r="AR41" i="7"/>
  <c r="AQ41" i="7"/>
  <c r="AN41" i="7"/>
  <c r="AM41" i="7"/>
  <c r="AL41" i="7"/>
  <c r="AI41" i="7"/>
  <c r="AH41" i="7"/>
  <c r="AG41" i="7"/>
  <c r="AD41" i="7"/>
  <c r="AC41" i="7"/>
  <c r="AB41" i="7"/>
  <c r="Y41" i="7"/>
  <c r="X41" i="7"/>
  <c r="W41" i="7"/>
  <c r="T41" i="7"/>
  <c r="S41" i="7"/>
  <c r="R41" i="7"/>
  <c r="AX40" i="7"/>
  <c r="AW40" i="7"/>
  <c r="AV40" i="7"/>
  <c r="AS40" i="7"/>
  <c r="AR40" i="7"/>
  <c r="AQ40" i="7"/>
  <c r="AN40" i="7"/>
  <c r="AM40" i="7"/>
  <c r="AL40" i="7"/>
  <c r="AI40" i="7"/>
  <c r="AH40" i="7"/>
  <c r="AG40" i="7"/>
  <c r="AD40" i="7"/>
  <c r="AC40" i="7"/>
  <c r="AB40" i="7"/>
  <c r="Y40" i="7"/>
  <c r="X40" i="7"/>
  <c r="W40" i="7"/>
  <c r="T40" i="7"/>
  <c r="S40" i="7"/>
  <c r="R40" i="7"/>
  <c r="AX39" i="7"/>
  <c r="AW39" i="7"/>
  <c r="AV39" i="7"/>
  <c r="AS39" i="7"/>
  <c r="AR39" i="7"/>
  <c r="AQ39" i="7"/>
  <c r="AN39" i="7"/>
  <c r="AM39" i="7"/>
  <c r="AL39" i="7"/>
  <c r="AI39" i="7"/>
  <c r="AH39" i="7"/>
  <c r="AG39" i="7"/>
  <c r="AD39" i="7"/>
  <c r="AC39" i="7"/>
  <c r="AB39" i="7"/>
  <c r="Y39" i="7"/>
  <c r="X39" i="7"/>
  <c r="W39" i="7"/>
  <c r="T39" i="7"/>
  <c r="S39" i="7"/>
  <c r="R39" i="7"/>
  <c r="C39" i="7"/>
  <c r="AX38" i="7"/>
  <c r="AW38" i="7"/>
  <c r="AV38" i="7"/>
  <c r="AS38" i="7"/>
  <c r="AR38" i="7"/>
  <c r="AQ38" i="7"/>
  <c r="AN38" i="7"/>
  <c r="AM38" i="7"/>
  <c r="AL38" i="7"/>
  <c r="AI38" i="7"/>
  <c r="AH38" i="7"/>
  <c r="AG38" i="7"/>
  <c r="AD38" i="7"/>
  <c r="AC38" i="7"/>
  <c r="AB38" i="7"/>
  <c r="Y38" i="7"/>
  <c r="X38" i="7"/>
  <c r="W38" i="7"/>
  <c r="T38" i="7"/>
  <c r="S38" i="7"/>
  <c r="R38" i="7"/>
  <c r="C38" i="7"/>
  <c r="AX37" i="7"/>
  <c r="AW37" i="7"/>
  <c r="AV37" i="7"/>
  <c r="AS37" i="7"/>
  <c r="AR37" i="7"/>
  <c r="AQ37" i="7"/>
  <c r="AN37" i="7"/>
  <c r="AM37" i="7"/>
  <c r="AL37" i="7"/>
  <c r="AI37" i="7"/>
  <c r="AH37" i="7"/>
  <c r="AG37" i="7"/>
  <c r="AD37" i="7"/>
  <c r="AC37" i="7"/>
  <c r="AB37" i="7"/>
  <c r="AE37" i="7" s="1"/>
  <c r="Y37" i="7"/>
  <c r="X37" i="7"/>
  <c r="W37" i="7"/>
  <c r="T37" i="7"/>
  <c r="U37" i="7" s="1"/>
  <c r="S37" i="7"/>
  <c r="R37" i="7"/>
  <c r="C37" i="7"/>
  <c r="AX36" i="7"/>
  <c r="AW36" i="7"/>
  <c r="AV36" i="7"/>
  <c r="AS36" i="7"/>
  <c r="AR36" i="7"/>
  <c r="AQ36" i="7"/>
  <c r="AN36" i="7"/>
  <c r="AM36" i="7"/>
  <c r="AL36" i="7"/>
  <c r="AI36" i="7"/>
  <c r="AH36" i="7"/>
  <c r="AG36" i="7"/>
  <c r="AD36" i="7"/>
  <c r="AC36" i="7"/>
  <c r="AB36" i="7"/>
  <c r="Y36" i="7"/>
  <c r="X36" i="7"/>
  <c r="W36" i="7"/>
  <c r="T36" i="7"/>
  <c r="S36" i="7"/>
  <c r="R36" i="7"/>
  <c r="C36" i="7"/>
  <c r="AX35" i="7"/>
  <c r="AW35" i="7"/>
  <c r="AV35" i="7"/>
  <c r="AS35" i="7"/>
  <c r="AR35" i="7"/>
  <c r="AQ35" i="7"/>
  <c r="AN35" i="7"/>
  <c r="AM35" i="7"/>
  <c r="AL35" i="7"/>
  <c r="AI35" i="7"/>
  <c r="AH35" i="7"/>
  <c r="AG35" i="7"/>
  <c r="AD35" i="7"/>
  <c r="AC35" i="7"/>
  <c r="AB35" i="7"/>
  <c r="Y35" i="7"/>
  <c r="X35" i="7"/>
  <c r="W35" i="7"/>
  <c r="T35" i="7"/>
  <c r="S35" i="7"/>
  <c r="R35" i="7"/>
  <c r="AX34" i="7"/>
  <c r="AW34" i="7"/>
  <c r="AV34" i="7"/>
  <c r="AS34" i="7"/>
  <c r="AR34" i="7"/>
  <c r="AQ34" i="7"/>
  <c r="AN34" i="7"/>
  <c r="AM34" i="7"/>
  <c r="AL34" i="7"/>
  <c r="AI34" i="7"/>
  <c r="AH34" i="7"/>
  <c r="AG34" i="7"/>
  <c r="AD34" i="7"/>
  <c r="AC34" i="7"/>
  <c r="AB34" i="7"/>
  <c r="Y34" i="7"/>
  <c r="X34" i="7"/>
  <c r="W34" i="7"/>
  <c r="T34" i="7"/>
  <c r="S34" i="7"/>
  <c r="R34" i="7"/>
  <c r="AX33" i="7"/>
  <c r="AW33" i="7"/>
  <c r="AV33" i="7"/>
  <c r="AS33" i="7"/>
  <c r="AR33" i="7"/>
  <c r="AQ33" i="7"/>
  <c r="AN33" i="7"/>
  <c r="AM33" i="7"/>
  <c r="AL33" i="7"/>
  <c r="AI33" i="7"/>
  <c r="AH33" i="7"/>
  <c r="AG33" i="7"/>
  <c r="AD33" i="7"/>
  <c r="AC33" i="7"/>
  <c r="AB33" i="7"/>
  <c r="Y33" i="7"/>
  <c r="X33" i="7"/>
  <c r="W33" i="7"/>
  <c r="T33" i="7"/>
  <c r="S33" i="7"/>
  <c r="R33" i="7"/>
  <c r="AX32" i="7"/>
  <c r="AW32" i="7"/>
  <c r="AV32" i="7"/>
  <c r="AS32" i="7"/>
  <c r="AR32" i="7"/>
  <c r="AQ32" i="7"/>
  <c r="AN32" i="7"/>
  <c r="AM32" i="7"/>
  <c r="AL32" i="7"/>
  <c r="AI32" i="7"/>
  <c r="AH32" i="7"/>
  <c r="AG32" i="7"/>
  <c r="AD32" i="7"/>
  <c r="AC32" i="7"/>
  <c r="AB32" i="7"/>
  <c r="Y32" i="7"/>
  <c r="X32" i="7"/>
  <c r="W32" i="7"/>
  <c r="T32" i="7"/>
  <c r="S32" i="7"/>
  <c r="R32" i="7"/>
  <c r="AX31" i="7"/>
  <c r="AW31" i="7"/>
  <c r="AV31" i="7"/>
  <c r="AS31" i="7"/>
  <c r="AR31" i="7"/>
  <c r="AQ31" i="7"/>
  <c r="AN31" i="7"/>
  <c r="AM31" i="7"/>
  <c r="AL31" i="7"/>
  <c r="AI31" i="7"/>
  <c r="AH31" i="7"/>
  <c r="AG31" i="7"/>
  <c r="AD31" i="7"/>
  <c r="AC31" i="7"/>
  <c r="AB31" i="7"/>
  <c r="Y31" i="7"/>
  <c r="X31" i="7"/>
  <c r="W31" i="7"/>
  <c r="T31" i="7"/>
  <c r="S31" i="7"/>
  <c r="R31" i="7"/>
  <c r="AX30" i="7"/>
  <c r="AW30" i="7"/>
  <c r="AV30" i="7"/>
  <c r="AS30" i="7"/>
  <c r="AR30" i="7"/>
  <c r="AQ30" i="7"/>
  <c r="AN30" i="7"/>
  <c r="AM30" i="7"/>
  <c r="AL30" i="7"/>
  <c r="AI30" i="7"/>
  <c r="AH30" i="7"/>
  <c r="AG30" i="7"/>
  <c r="AD30" i="7"/>
  <c r="AC30" i="7"/>
  <c r="AB30" i="7"/>
  <c r="Y30" i="7"/>
  <c r="X30" i="7"/>
  <c r="W30" i="7"/>
  <c r="T30" i="7"/>
  <c r="S30" i="7"/>
  <c r="R30" i="7"/>
  <c r="C30" i="7"/>
  <c r="AX29" i="7"/>
  <c r="AW29" i="7"/>
  <c r="AV29" i="7"/>
  <c r="AS29" i="7"/>
  <c r="AR29" i="7"/>
  <c r="AQ29" i="7"/>
  <c r="AN29" i="7"/>
  <c r="AM29" i="7"/>
  <c r="AL29" i="7"/>
  <c r="AI29" i="7"/>
  <c r="AH29" i="7"/>
  <c r="AG29" i="7"/>
  <c r="AD29" i="7"/>
  <c r="AC29" i="7"/>
  <c r="AB29" i="7"/>
  <c r="Y29" i="7"/>
  <c r="X29" i="7"/>
  <c r="W29" i="7"/>
  <c r="T29" i="7"/>
  <c r="S29" i="7"/>
  <c r="R29" i="7"/>
  <c r="C29" i="7"/>
  <c r="AX28" i="7"/>
  <c r="AW28" i="7"/>
  <c r="AV28" i="7"/>
  <c r="AS28" i="7"/>
  <c r="AR28" i="7"/>
  <c r="AQ28" i="7"/>
  <c r="AN28" i="7"/>
  <c r="AM28" i="7"/>
  <c r="AL28" i="7"/>
  <c r="AI28" i="7"/>
  <c r="AH28" i="7"/>
  <c r="AG28" i="7"/>
  <c r="AD28" i="7"/>
  <c r="AC28" i="7"/>
  <c r="AB28" i="7"/>
  <c r="Y28" i="7"/>
  <c r="X28" i="7"/>
  <c r="W28" i="7"/>
  <c r="T28" i="7"/>
  <c r="U28" i="7" s="1"/>
  <c r="S28" i="7"/>
  <c r="R28" i="7"/>
  <c r="C28" i="7"/>
  <c r="AX27" i="7"/>
  <c r="AW27" i="7"/>
  <c r="AV27" i="7"/>
  <c r="AS27" i="7"/>
  <c r="AR27" i="7"/>
  <c r="AQ27" i="7"/>
  <c r="AN27" i="7"/>
  <c r="AM27" i="7"/>
  <c r="AL27" i="7"/>
  <c r="AI27" i="7"/>
  <c r="AJ27" i="7" s="1"/>
  <c r="AH27" i="7"/>
  <c r="AG27" i="7"/>
  <c r="AD27" i="7"/>
  <c r="AC27" i="7"/>
  <c r="AB27" i="7"/>
  <c r="Y27" i="7"/>
  <c r="X27" i="7"/>
  <c r="W27" i="7"/>
  <c r="T27" i="7"/>
  <c r="S27" i="7"/>
  <c r="R27" i="7"/>
  <c r="C27" i="7"/>
  <c r="AX26" i="7"/>
  <c r="AW26" i="7"/>
  <c r="AV26" i="7"/>
  <c r="AS26" i="7"/>
  <c r="AR26" i="7"/>
  <c r="AQ26" i="7"/>
  <c r="AN26" i="7"/>
  <c r="AM26" i="7"/>
  <c r="AL26" i="7"/>
  <c r="AI26" i="7"/>
  <c r="AH26" i="7"/>
  <c r="AG26" i="7"/>
  <c r="AD26" i="7"/>
  <c r="AC26" i="7"/>
  <c r="AB26" i="7"/>
  <c r="Y26" i="7"/>
  <c r="X26" i="7"/>
  <c r="W26" i="7"/>
  <c r="T26" i="7"/>
  <c r="S26" i="7"/>
  <c r="R26" i="7"/>
  <c r="AX25" i="7"/>
  <c r="AW25" i="7"/>
  <c r="AV25" i="7"/>
  <c r="AS25" i="7"/>
  <c r="AR25" i="7"/>
  <c r="AQ25" i="7"/>
  <c r="AN25" i="7"/>
  <c r="AM25" i="7"/>
  <c r="AL25" i="7"/>
  <c r="AI25" i="7"/>
  <c r="AH25" i="7"/>
  <c r="AG25" i="7"/>
  <c r="AD25" i="7"/>
  <c r="AC25" i="7"/>
  <c r="AB25" i="7"/>
  <c r="Y25" i="7"/>
  <c r="X25" i="7"/>
  <c r="W25" i="7"/>
  <c r="T25" i="7"/>
  <c r="S25" i="7"/>
  <c r="R25" i="7"/>
  <c r="AX24" i="7"/>
  <c r="AW24" i="7"/>
  <c r="AV24" i="7"/>
  <c r="AS24" i="7"/>
  <c r="AR24" i="7"/>
  <c r="AQ24" i="7"/>
  <c r="AN24" i="7"/>
  <c r="AM24" i="7"/>
  <c r="AL24" i="7"/>
  <c r="AI24" i="7"/>
  <c r="AH24" i="7"/>
  <c r="AG24" i="7"/>
  <c r="AD24" i="7"/>
  <c r="AC24" i="7"/>
  <c r="AB24" i="7"/>
  <c r="Y24" i="7"/>
  <c r="X24" i="7"/>
  <c r="W24" i="7"/>
  <c r="T24" i="7"/>
  <c r="S24" i="7"/>
  <c r="R24" i="7"/>
  <c r="AX23" i="7"/>
  <c r="AW23" i="7"/>
  <c r="AV23" i="7"/>
  <c r="AS23" i="7"/>
  <c r="AR23" i="7"/>
  <c r="AQ23" i="7"/>
  <c r="AN23" i="7"/>
  <c r="AM23" i="7"/>
  <c r="AL23" i="7"/>
  <c r="AI23" i="7"/>
  <c r="AH23" i="7"/>
  <c r="AG23" i="7"/>
  <c r="AD23" i="7"/>
  <c r="AC23" i="7"/>
  <c r="AB23" i="7"/>
  <c r="Y23" i="7"/>
  <c r="X23" i="7"/>
  <c r="W23" i="7"/>
  <c r="T23" i="7"/>
  <c r="S23" i="7"/>
  <c r="R23" i="7"/>
  <c r="AX22" i="7"/>
  <c r="AW22" i="7"/>
  <c r="AV22" i="7"/>
  <c r="AS22" i="7"/>
  <c r="AR22" i="7"/>
  <c r="AQ22" i="7"/>
  <c r="AN22" i="7"/>
  <c r="AM22" i="7"/>
  <c r="AL22" i="7"/>
  <c r="AI22" i="7"/>
  <c r="AH22" i="7"/>
  <c r="AG22" i="7"/>
  <c r="AD22" i="7"/>
  <c r="AC22" i="7"/>
  <c r="AB22" i="7"/>
  <c r="Y22" i="7"/>
  <c r="X22" i="7"/>
  <c r="W22" i="7"/>
  <c r="T22" i="7"/>
  <c r="S22" i="7"/>
  <c r="R22" i="7"/>
  <c r="AX21" i="7"/>
  <c r="AW21" i="7"/>
  <c r="AV21" i="7"/>
  <c r="AS21" i="7"/>
  <c r="AR21" i="7"/>
  <c r="AQ21" i="7"/>
  <c r="AN21" i="7"/>
  <c r="AM21" i="7"/>
  <c r="AL21" i="7"/>
  <c r="AI21" i="7"/>
  <c r="AH21" i="7"/>
  <c r="AG21" i="7"/>
  <c r="AD21" i="7"/>
  <c r="AC21" i="7"/>
  <c r="AB21" i="7"/>
  <c r="Y21" i="7"/>
  <c r="X21" i="7"/>
  <c r="W21" i="7"/>
  <c r="T21" i="7"/>
  <c r="S21" i="7"/>
  <c r="R21" i="7"/>
  <c r="C21" i="7"/>
  <c r="AX20" i="7"/>
  <c r="AW20" i="7"/>
  <c r="AV20" i="7"/>
  <c r="AS20" i="7"/>
  <c r="AR20" i="7"/>
  <c r="AQ20" i="7"/>
  <c r="AN20" i="7"/>
  <c r="AM20" i="7"/>
  <c r="AL20" i="7"/>
  <c r="AI20" i="7"/>
  <c r="AH20" i="7"/>
  <c r="AG20" i="7"/>
  <c r="AD20" i="7"/>
  <c r="AC20" i="7"/>
  <c r="AB20" i="7"/>
  <c r="Y20" i="7"/>
  <c r="X20" i="7"/>
  <c r="W20" i="7"/>
  <c r="T20" i="7"/>
  <c r="S20" i="7"/>
  <c r="R20" i="7"/>
  <c r="C20" i="7"/>
  <c r="AX19" i="7"/>
  <c r="AW19" i="7"/>
  <c r="AV19" i="7"/>
  <c r="AS19" i="7"/>
  <c r="AR19" i="7"/>
  <c r="AQ19" i="7"/>
  <c r="AN19" i="7"/>
  <c r="AM19" i="7"/>
  <c r="AL19" i="7"/>
  <c r="AI19" i="7"/>
  <c r="AH19" i="7"/>
  <c r="AG19" i="7"/>
  <c r="AD19" i="7"/>
  <c r="AC19" i="7"/>
  <c r="AB19" i="7"/>
  <c r="Y19" i="7"/>
  <c r="X19" i="7"/>
  <c r="W19" i="7"/>
  <c r="T19" i="7"/>
  <c r="S19" i="7"/>
  <c r="R19" i="7"/>
  <c r="C19" i="7"/>
  <c r="AX18" i="7"/>
  <c r="AW18" i="7"/>
  <c r="AV18" i="7"/>
  <c r="AS18" i="7"/>
  <c r="AT18" i="7" s="1"/>
  <c r="AR18" i="7"/>
  <c r="AQ18" i="7"/>
  <c r="AN18" i="7"/>
  <c r="AM18" i="7"/>
  <c r="AL18" i="7"/>
  <c r="AO18" i="7" s="1"/>
  <c r="AI18" i="7"/>
  <c r="AH18" i="7"/>
  <c r="AG18" i="7"/>
  <c r="AD18" i="7"/>
  <c r="AC18" i="7"/>
  <c r="AB18" i="7"/>
  <c r="AE18" i="7" s="1"/>
  <c r="Y18" i="7"/>
  <c r="X18" i="7"/>
  <c r="W18" i="7"/>
  <c r="T18" i="7"/>
  <c r="S18" i="7"/>
  <c r="R18" i="7"/>
  <c r="C18" i="7"/>
  <c r="AX17" i="7"/>
  <c r="AW17" i="7"/>
  <c r="AV17" i="7"/>
  <c r="AS17" i="7"/>
  <c r="AR17" i="7"/>
  <c r="AQ17" i="7"/>
  <c r="AN17" i="7"/>
  <c r="AM17" i="7"/>
  <c r="AL17" i="7"/>
  <c r="AI17" i="7"/>
  <c r="AH17" i="7"/>
  <c r="AG17" i="7"/>
  <c r="AD17" i="7"/>
  <c r="AE17" i="7" s="1"/>
  <c r="AC17" i="7"/>
  <c r="AB17" i="7"/>
  <c r="Y17" i="7"/>
  <c r="X17" i="7"/>
  <c r="W17" i="7"/>
  <c r="T17" i="7"/>
  <c r="U17" i="7" s="1"/>
  <c r="S17" i="7"/>
  <c r="R17" i="7"/>
  <c r="AX16" i="7"/>
  <c r="AW16" i="7"/>
  <c r="AV16" i="7"/>
  <c r="AS16" i="7"/>
  <c r="AR16" i="7"/>
  <c r="AQ16" i="7"/>
  <c r="AN16" i="7"/>
  <c r="AM16" i="7"/>
  <c r="AL16" i="7"/>
  <c r="AI16" i="7"/>
  <c r="AH16" i="7"/>
  <c r="AG16" i="7"/>
  <c r="AD16" i="7"/>
  <c r="AC16" i="7"/>
  <c r="AB16" i="7"/>
  <c r="Y16" i="7"/>
  <c r="X16" i="7"/>
  <c r="W16" i="7"/>
  <c r="T16" i="7"/>
  <c r="S16" i="7"/>
  <c r="R16" i="7"/>
  <c r="AX15" i="7"/>
  <c r="AY15" i="7" s="1"/>
  <c r="AW15" i="7"/>
  <c r="AV15" i="7"/>
  <c r="AS15" i="7"/>
  <c r="AR15" i="7"/>
  <c r="AQ15" i="7"/>
  <c r="AN15" i="7"/>
  <c r="AM15" i="7"/>
  <c r="AL15" i="7"/>
  <c r="AI15" i="7"/>
  <c r="AH15" i="7"/>
  <c r="AG15" i="7"/>
  <c r="AD15" i="7"/>
  <c r="AC15" i="7"/>
  <c r="AB15" i="7"/>
  <c r="Y15" i="7"/>
  <c r="X15" i="7"/>
  <c r="W15" i="7"/>
  <c r="T15" i="7"/>
  <c r="S15" i="7"/>
  <c r="R15" i="7"/>
  <c r="AX14" i="7"/>
  <c r="AW14" i="7"/>
  <c r="AV14" i="7"/>
  <c r="AS14" i="7"/>
  <c r="AR14" i="7"/>
  <c r="AQ14" i="7"/>
  <c r="AN14" i="7"/>
  <c r="AM14" i="7"/>
  <c r="AL14" i="7"/>
  <c r="AI14" i="7"/>
  <c r="AH14" i="7"/>
  <c r="AG14" i="7"/>
  <c r="AD14" i="7"/>
  <c r="AC14" i="7"/>
  <c r="AB14" i="7"/>
  <c r="Y14" i="7"/>
  <c r="X14" i="7"/>
  <c r="W14" i="7"/>
  <c r="T14" i="7"/>
  <c r="S14" i="7"/>
  <c r="R14" i="7"/>
  <c r="AX13" i="7"/>
  <c r="AW13" i="7"/>
  <c r="AV13" i="7"/>
  <c r="AS13" i="7"/>
  <c r="AR13" i="7"/>
  <c r="AQ13" i="7"/>
  <c r="AN13" i="7"/>
  <c r="AO13" i="7" s="1"/>
  <c r="AM13" i="7"/>
  <c r="AL13" i="7"/>
  <c r="AI13" i="7"/>
  <c r="AH13" i="7"/>
  <c r="AG13" i="7"/>
  <c r="AD13" i="7"/>
  <c r="AC13" i="7"/>
  <c r="AB13" i="7"/>
  <c r="Y13" i="7"/>
  <c r="X13" i="7"/>
  <c r="W13" i="7"/>
  <c r="T13" i="7"/>
  <c r="S13" i="7"/>
  <c r="R13" i="7"/>
  <c r="AX12" i="7"/>
  <c r="AW12" i="7"/>
  <c r="AV12" i="7"/>
  <c r="AS12" i="7"/>
  <c r="AR12" i="7"/>
  <c r="AQ12" i="7"/>
  <c r="AN12" i="7"/>
  <c r="AM12" i="7"/>
  <c r="AL12" i="7"/>
  <c r="AI12" i="7"/>
  <c r="AH12" i="7"/>
  <c r="AG12" i="7"/>
  <c r="AD12" i="7"/>
  <c r="AC12" i="7"/>
  <c r="AB12" i="7"/>
  <c r="Y12" i="7"/>
  <c r="X12" i="7"/>
  <c r="W12" i="7"/>
  <c r="T12" i="7"/>
  <c r="S12" i="7"/>
  <c r="R12" i="7"/>
  <c r="C12" i="7"/>
  <c r="AX11" i="7"/>
  <c r="AW11" i="7"/>
  <c r="AV11" i="7"/>
  <c r="AS11" i="7"/>
  <c r="AR11" i="7"/>
  <c r="AQ11" i="7"/>
  <c r="AN11" i="7"/>
  <c r="AM11" i="7"/>
  <c r="AL11" i="7"/>
  <c r="AI11" i="7"/>
  <c r="AH11" i="7"/>
  <c r="AG11" i="7"/>
  <c r="AD11" i="7"/>
  <c r="AC11" i="7"/>
  <c r="AB11" i="7"/>
  <c r="Y11" i="7"/>
  <c r="X11" i="7"/>
  <c r="W11" i="7"/>
  <c r="T11" i="7"/>
  <c r="S11" i="7"/>
  <c r="R11" i="7"/>
  <c r="C11" i="7"/>
  <c r="AX10" i="7"/>
  <c r="AW10" i="7"/>
  <c r="AV10" i="7"/>
  <c r="AS10" i="7"/>
  <c r="AR10" i="7"/>
  <c r="AQ10" i="7"/>
  <c r="AN10" i="7"/>
  <c r="AM10" i="7"/>
  <c r="AL10" i="7"/>
  <c r="AI10" i="7"/>
  <c r="AH10" i="7"/>
  <c r="AG10" i="7"/>
  <c r="AD10" i="7"/>
  <c r="AC10" i="7"/>
  <c r="AB10" i="7"/>
  <c r="Y10" i="7"/>
  <c r="X10" i="7"/>
  <c r="W10" i="7"/>
  <c r="T10" i="7"/>
  <c r="S10" i="7"/>
  <c r="R10" i="7"/>
  <c r="C10" i="7"/>
  <c r="AX9" i="7"/>
  <c r="AW9" i="7"/>
  <c r="AV9" i="7"/>
  <c r="AS9" i="7"/>
  <c r="AR9" i="7"/>
  <c r="AQ9" i="7"/>
  <c r="AT9" i="7" s="1"/>
  <c r="AN9" i="7"/>
  <c r="AM9" i="7"/>
  <c r="AL9" i="7"/>
  <c r="AI9" i="7"/>
  <c r="AH9" i="7"/>
  <c r="AG9" i="7"/>
  <c r="AD9" i="7"/>
  <c r="AC9" i="7"/>
  <c r="AB9" i="7"/>
  <c r="Y9" i="7"/>
  <c r="X9" i="7"/>
  <c r="W9" i="7"/>
  <c r="T9" i="7"/>
  <c r="S9" i="7"/>
  <c r="R9" i="7"/>
  <c r="C9" i="7"/>
  <c r="AX8" i="7"/>
  <c r="AW8" i="7"/>
  <c r="AV8" i="7"/>
  <c r="AS8" i="7"/>
  <c r="AR8" i="7"/>
  <c r="AQ8" i="7"/>
  <c r="AN8" i="7"/>
  <c r="AM8" i="7"/>
  <c r="AL8" i="7"/>
  <c r="AI8" i="7"/>
  <c r="AH8" i="7"/>
  <c r="AG8" i="7"/>
  <c r="AD8" i="7"/>
  <c r="AC8" i="7"/>
  <c r="AB8" i="7"/>
  <c r="Y8" i="7"/>
  <c r="X8" i="7"/>
  <c r="W8" i="7"/>
  <c r="T8" i="7"/>
  <c r="S8" i="7"/>
  <c r="R8" i="7"/>
  <c r="AX7" i="7"/>
  <c r="AW7" i="7"/>
  <c r="AV7" i="7"/>
  <c r="AS7" i="7"/>
  <c r="AR7" i="7"/>
  <c r="AQ7" i="7"/>
  <c r="AN7" i="7"/>
  <c r="AM7" i="7"/>
  <c r="AL7" i="7"/>
  <c r="AI7" i="7"/>
  <c r="AH7" i="7"/>
  <c r="AG7" i="7"/>
  <c r="AD7" i="7"/>
  <c r="AC7" i="7"/>
  <c r="AB7" i="7"/>
  <c r="Y7" i="7"/>
  <c r="X7" i="7"/>
  <c r="W7" i="7"/>
  <c r="T7" i="7"/>
  <c r="S7" i="7"/>
  <c r="R7" i="7"/>
  <c r="AX6" i="7"/>
  <c r="AW6" i="7"/>
  <c r="AV6" i="7"/>
  <c r="AS6" i="7"/>
  <c r="AR6" i="7"/>
  <c r="AQ6" i="7"/>
  <c r="AN6" i="7"/>
  <c r="AM6" i="7"/>
  <c r="AL6" i="7"/>
  <c r="AI6" i="7"/>
  <c r="AH6" i="7"/>
  <c r="AG6" i="7"/>
  <c r="AD6" i="7"/>
  <c r="AC6" i="7"/>
  <c r="AB6" i="7"/>
  <c r="Y6" i="7"/>
  <c r="X6" i="7"/>
  <c r="W6" i="7"/>
  <c r="T6" i="7"/>
  <c r="S6" i="7"/>
  <c r="R6" i="7"/>
  <c r="AV3" i="7"/>
  <c r="AQ3" i="7"/>
  <c r="AL3" i="7"/>
  <c r="AG3" i="7"/>
  <c r="AB3" i="7"/>
  <c r="W3" i="7"/>
  <c r="R3" i="7"/>
  <c r="AP110" i="3"/>
  <c r="AO110" i="3"/>
  <c r="AN110" i="3"/>
  <c r="AP109" i="3"/>
  <c r="AO109" i="3"/>
  <c r="AN109" i="3"/>
  <c r="AP108" i="3"/>
  <c r="AO108" i="3"/>
  <c r="AN108" i="3"/>
  <c r="AP107" i="3"/>
  <c r="AO107" i="3"/>
  <c r="AN107" i="3"/>
  <c r="AP106" i="3"/>
  <c r="AO106" i="3"/>
  <c r="AN106" i="3"/>
  <c r="AP105" i="3"/>
  <c r="AO105" i="3"/>
  <c r="AN105" i="3"/>
  <c r="AP104" i="3"/>
  <c r="AO104" i="3"/>
  <c r="AN104" i="3"/>
  <c r="AP103" i="3"/>
  <c r="AO103" i="3"/>
  <c r="AN103" i="3"/>
  <c r="AP102" i="3"/>
  <c r="AO102" i="3"/>
  <c r="AN102" i="3"/>
  <c r="AP101" i="3"/>
  <c r="AO101" i="3"/>
  <c r="AN101" i="3"/>
  <c r="AP100" i="3"/>
  <c r="AO100" i="3"/>
  <c r="AN100" i="3"/>
  <c r="AP99" i="3"/>
  <c r="AO99" i="3"/>
  <c r="AN99" i="3"/>
  <c r="AP98" i="3"/>
  <c r="AO98" i="3"/>
  <c r="AN98" i="3"/>
  <c r="AP97" i="3"/>
  <c r="AO97" i="3"/>
  <c r="AN97" i="3"/>
  <c r="AP96" i="3"/>
  <c r="AO96" i="3"/>
  <c r="AN96" i="3"/>
  <c r="AP95" i="3"/>
  <c r="AO95" i="3"/>
  <c r="AN95" i="3"/>
  <c r="AP94" i="3"/>
  <c r="AO94" i="3"/>
  <c r="AN94" i="3"/>
  <c r="AP93" i="3"/>
  <c r="AO93" i="3"/>
  <c r="AN93" i="3"/>
  <c r="AP92" i="3"/>
  <c r="AO92" i="3"/>
  <c r="AN92" i="3"/>
  <c r="AP91" i="3"/>
  <c r="AO91" i="3"/>
  <c r="AN91" i="3"/>
  <c r="AP90" i="3"/>
  <c r="AO90" i="3"/>
  <c r="AN90" i="3"/>
  <c r="AP89" i="3"/>
  <c r="AO89" i="3"/>
  <c r="AN89" i="3"/>
  <c r="AP88" i="3"/>
  <c r="AO88" i="3"/>
  <c r="AN88" i="3"/>
  <c r="AP87" i="3"/>
  <c r="AO87" i="3"/>
  <c r="AN87" i="3"/>
  <c r="AP86" i="3"/>
  <c r="AO86" i="3"/>
  <c r="AN86" i="3"/>
  <c r="AP85" i="3"/>
  <c r="AO85" i="3"/>
  <c r="AN85" i="3"/>
  <c r="AP84" i="3"/>
  <c r="AO84" i="3"/>
  <c r="AN84" i="3"/>
  <c r="AP83" i="3"/>
  <c r="AO83" i="3"/>
  <c r="AN83" i="3"/>
  <c r="AP82" i="3"/>
  <c r="AO82" i="3"/>
  <c r="AN82" i="3"/>
  <c r="AP81" i="3"/>
  <c r="AO81" i="3"/>
  <c r="AN81" i="3"/>
  <c r="AP80" i="3"/>
  <c r="AO80" i="3"/>
  <c r="AN80" i="3"/>
  <c r="AP79" i="3"/>
  <c r="AO79" i="3"/>
  <c r="AN79" i="3"/>
  <c r="AP78" i="3"/>
  <c r="AO78" i="3"/>
  <c r="AN78" i="3"/>
  <c r="AP77" i="3"/>
  <c r="AO77" i="3"/>
  <c r="AN77" i="3"/>
  <c r="AP76" i="3"/>
  <c r="AO76" i="3"/>
  <c r="AN76" i="3"/>
  <c r="AP75" i="3"/>
  <c r="AO75" i="3"/>
  <c r="AN75" i="3"/>
  <c r="AP74" i="3"/>
  <c r="AO74" i="3"/>
  <c r="AN74" i="3"/>
  <c r="AP73" i="3"/>
  <c r="AO73" i="3"/>
  <c r="AN73" i="3"/>
  <c r="AP72" i="3"/>
  <c r="AO72" i="3"/>
  <c r="AN72" i="3"/>
  <c r="AP71" i="3"/>
  <c r="AO71" i="3"/>
  <c r="AN71" i="3"/>
  <c r="AP70" i="3"/>
  <c r="AO70" i="3"/>
  <c r="AN70" i="3"/>
  <c r="AP69" i="3"/>
  <c r="AO69" i="3"/>
  <c r="AN69" i="3"/>
  <c r="AP68" i="3"/>
  <c r="AO68" i="3"/>
  <c r="AN68" i="3"/>
  <c r="AP67" i="3"/>
  <c r="AO67" i="3"/>
  <c r="AN67" i="3"/>
  <c r="AP66" i="3"/>
  <c r="AO66" i="3"/>
  <c r="AN66" i="3"/>
  <c r="AP65" i="3"/>
  <c r="AO65" i="3"/>
  <c r="AN65" i="3"/>
  <c r="AP64" i="3"/>
  <c r="AO64" i="3"/>
  <c r="AN64" i="3"/>
  <c r="AP63" i="3"/>
  <c r="AO63" i="3"/>
  <c r="AN63" i="3"/>
  <c r="AP62" i="3"/>
  <c r="AO62" i="3"/>
  <c r="AN62" i="3"/>
  <c r="AP61" i="3"/>
  <c r="AO61" i="3"/>
  <c r="AN61" i="3"/>
  <c r="AP60" i="3"/>
  <c r="AO60" i="3"/>
  <c r="AN60" i="3"/>
  <c r="AP59" i="3"/>
  <c r="AO59" i="3"/>
  <c r="AN59" i="3"/>
  <c r="AP58" i="3"/>
  <c r="AO58" i="3"/>
  <c r="AN58" i="3"/>
  <c r="AP57" i="3"/>
  <c r="AO57" i="3"/>
  <c r="AN57" i="3"/>
  <c r="AP56" i="3"/>
  <c r="AO56" i="3"/>
  <c r="AN56" i="3"/>
  <c r="AP55" i="3"/>
  <c r="AO55" i="3"/>
  <c r="AN55" i="3"/>
  <c r="AP54" i="3"/>
  <c r="AO54" i="3"/>
  <c r="AN54" i="3"/>
  <c r="AP53" i="3"/>
  <c r="AO53" i="3"/>
  <c r="AN53" i="3"/>
  <c r="AP52" i="3"/>
  <c r="AO52" i="3"/>
  <c r="AN52" i="3"/>
  <c r="AP51" i="3"/>
  <c r="AO51" i="3"/>
  <c r="AN51" i="3"/>
  <c r="AP50" i="3"/>
  <c r="AO50" i="3"/>
  <c r="AN50" i="3"/>
  <c r="AP49" i="3"/>
  <c r="AO49" i="3"/>
  <c r="AN49" i="3"/>
  <c r="AP48" i="3"/>
  <c r="AO48" i="3"/>
  <c r="AN48" i="3"/>
  <c r="AP47" i="3"/>
  <c r="AO47" i="3"/>
  <c r="AN47" i="3"/>
  <c r="AP46" i="3"/>
  <c r="AO46" i="3"/>
  <c r="AN46" i="3"/>
  <c r="AP45" i="3"/>
  <c r="AO45" i="3"/>
  <c r="AN45" i="3"/>
  <c r="AP44" i="3"/>
  <c r="AO44" i="3"/>
  <c r="AN44" i="3"/>
  <c r="AP43" i="3"/>
  <c r="AO43" i="3"/>
  <c r="AN43" i="3"/>
  <c r="AP42" i="3"/>
  <c r="AO42" i="3"/>
  <c r="AN42" i="3"/>
  <c r="AP41" i="3"/>
  <c r="AO41" i="3"/>
  <c r="AN41" i="3"/>
  <c r="AP40" i="3"/>
  <c r="AO40" i="3"/>
  <c r="AN40" i="3"/>
  <c r="AP39" i="3"/>
  <c r="AO39" i="3"/>
  <c r="AN39" i="3"/>
  <c r="AP38" i="3"/>
  <c r="AO38" i="3"/>
  <c r="AN38" i="3"/>
  <c r="AP37" i="3"/>
  <c r="AO37" i="3"/>
  <c r="AN37" i="3"/>
  <c r="AP36" i="3"/>
  <c r="AO36" i="3"/>
  <c r="AN36" i="3"/>
  <c r="BC35" i="3"/>
  <c r="AP35" i="3"/>
  <c r="AO35" i="3"/>
  <c r="AN35" i="3"/>
  <c r="AP34" i="3"/>
  <c r="AO34" i="3"/>
  <c r="AN34" i="3"/>
  <c r="AP33" i="3"/>
  <c r="AO33" i="3"/>
  <c r="AN33" i="3"/>
  <c r="BC32" i="3"/>
  <c r="AP32" i="3"/>
  <c r="AO32" i="3"/>
  <c r="AN32" i="3"/>
  <c r="AP31" i="3"/>
  <c r="AO31" i="3"/>
  <c r="AN31" i="3"/>
  <c r="AP30" i="3"/>
  <c r="AO30" i="3"/>
  <c r="AN30" i="3"/>
  <c r="AP29" i="3"/>
  <c r="AO29" i="3"/>
  <c r="AN29" i="3"/>
  <c r="C63" i="4"/>
  <c r="C29" i="9" s="1"/>
  <c r="C39" i="4"/>
  <c r="C38" i="4"/>
  <c r="C37" i="4"/>
  <c r="C36" i="4"/>
  <c r="C34" i="4"/>
  <c r="C25" i="1"/>
  <c r="C13" i="1"/>
  <c r="AQ57" i="3" l="1"/>
  <c r="AQ81" i="3"/>
  <c r="AQ101" i="3"/>
  <c r="AQ65" i="3"/>
  <c r="AQ77" i="3"/>
  <c r="AQ97" i="3"/>
  <c r="AQ69" i="3"/>
  <c r="AQ85" i="3"/>
  <c r="AQ93" i="3"/>
  <c r="AQ61" i="3"/>
  <c r="AQ73" i="3"/>
  <c r="AQ89" i="3"/>
  <c r="H21" i="9"/>
  <c r="C91" i="4"/>
  <c r="C92" i="4" s="1"/>
  <c r="C97" i="4"/>
  <c r="C94" i="4"/>
  <c r="C56" i="4"/>
  <c r="C138" i="4"/>
  <c r="A138" i="4" s="1"/>
  <c r="D9" i="4" s="1"/>
  <c r="AD108" i="3"/>
  <c r="AS182" i="3"/>
  <c r="C57" i="4"/>
  <c r="AC29" i="4" s="1"/>
  <c r="AQ30" i="3"/>
  <c r="AQ105" i="3"/>
  <c r="AQ35" i="3"/>
  <c r="AQ56" i="3"/>
  <c r="AQ60" i="3"/>
  <c r="AQ64" i="3"/>
  <c r="AQ68" i="3"/>
  <c r="AQ72" i="3"/>
  <c r="AQ76" i="3"/>
  <c r="AQ80" i="3"/>
  <c r="AQ84" i="3"/>
  <c r="AQ88" i="3"/>
  <c r="AQ92" i="3"/>
  <c r="AQ96" i="3"/>
  <c r="AQ100" i="3"/>
  <c r="AQ104" i="3"/>
  <c r="AQ108" i="3"/>
  <c r="AQ109" i="3"/>
  <c r="AT32" i="4"/>
  <c r="AQ34" i="3"/>
  <c r="AQ59" i="3"/>
  <c r="AQ63" i="3"/>
  <c r="AQ67" i="3"/>
  <c r="AQ71" i="3"/>
  <c r="AQ75" i="3"/>
  <c r="AQ79" i="3"/>
  <c r="AQ83" i="3"/>
  <c r="AQ91" i="3"/>
  <c r="AQ95" i="3"/>
  <c r="AQ99" i="3"/>
  <c r="AQ103" i="3"/>
  <c r="AQ107" i="3"/>
  <c r="AQ38" i="3"/>
  <c r="AQ42" i="3"/>
  <c r="AQ46" i="3"/>
  <c r="AQ50" i="3"/>
  <c r="AQ53" i="3"/>
  <c r="AQ55" i="3"/>
  <c r="AQ87" i="3"/>
  <c r="AQ31" i="3"/>
  <c r="AQ39" i="3"/>
  <c r="AQ43" i="3"/>
  <c r="AQ47" i="3"/>
  <c r="AQ32" i="3"/>
  <c r="AQ52" i="3"/>
  <c r="AQ36" i="3"/>
  <c r="AQ40" i="3"/>
  <c r="AQ44" i="3"/>
  <c r="AQ48" i="3"/>
  <c r="AQ29" i="3"/>
  <c r="AQ33" i="3"/>
  <c r="AQ51" i="3"/>
  <c r="AQ54" i="3"/>
  <c r="AQ58" i="3"/>
  <c r="AQ62" i="3"/>
  <c r="AQ66" i="3"/>
  <c r="AQ70" i="3"/>
  <c r="AQ74" i="3"/>
  <c r="AQ78" i="3"/>
  <c r="AQ82" i="3"/>
  <c r="AQ86" i="3"/>
  <c r="AQ90" i="3"/>
  <c r="AQ94" i="3"/>
  <c r="AQ98" i="3"/>
  <c r="AQ102" i="3"/>
  <c r="AQ106" i="3"/>
  <c r="AQ110" i="3"/>
  <c r="AQ37" i="3"/>
  <c r="AQ41" i="3"/>
  <c r="AQ45" i="3"/>
  <c r="AQ49" i="3"/>
  <c r="C48" i="4"/>
  <c r="AU109" i="3"/>
  <c r="AS156" i="3"/>
  <c r="AT150" i="3"/>
  <c r="AS142" i="3"/>
  <c r="AT128" i="3"/>
  <c r="AT49" i="3"/>
  <c r="AS153" i="3"/>
  <c r="AS34" i="3"/>
  <c r="AU130" i="3"/>
  <c r="AU173" i="3"/>
  <c r="AU140" i="3"/>
  <c r="AS174" i="3"/>
  <c r="AU141" i="3"/>
  <c r="AS164" i="3"/>
  <c r="AU129" i="3"/>
  <c r="C98" i="3"/>
  <c r="C102" i="3" s="1"/>
  <c r="AU159" i="3"/>
  <c r="AT143" i="3"/>
  <c r="AT175" i="3"/>
  <c r="AU114" i="3"/>
  <c r="AS173" i="3"/>
  <c r="AU169" i="3"/>
  <c r="AT152" i="3"/>
  <c r="AS172" i="3"/>
  <c r="AS138" i="3"/>
  <c r="AU132" i="3"/>
  <c r="AU135" i="3"/>
  <c r="AU136" i="3"/>
  <c r="AU126" i="3"/>
  <c r="AU163" i="3"/>
  <c r="AT111" i="3"/>
  <c r="AT34" i="3"/>
  <c r="AT36" i="3"/>
  <c r="AT174" i="3"/>
  <c r="AU165" i="3"/>
  <c r="AU160" i="3"/>
  <c r="AU167" i="3"/>
  <c r="AT156" i="3"/>
  <c r="AT147" i="3"/>
  <c r="AS165" i="3"/>
  <c r="AU131" i="3"/>
  <c r="AS131" i="3"/>
  <c r="AS132" i="3"/>
  <c r="AU128" i="3"/>
  <c r="AT116" i="3"/>
  <c r="AU121" i="3"/>
  <c r="AU133" i="3"/>
  <c r="AU182" i="3"/>
  <c r="AS139" i="3"/>
  <c r="AS46" i="3"/>
  <c r="AS167" i="3"/>
  <c r="AT157" i="3"/>
  <c r="AS157" i="3"/>
  <c r="AT158" i="3"/>
  <c r="AT166" i="3"/>
  <c r="AT146" i="3"/>
  <c r="AT142" i="3"/>
  <c r="AU164" i="3"/>
  <c r="AS123" i="3"/>
  <c r="AS129" i="3"/>
  <c r="AS118" i="3"/>
  <c r="AU119" i="3"/>
  <c r="AS113" i="3"/>
  <c r="AU118" i="3"/>
  <c r="AT129" i="3"/>
  <c r="AT114" i="3"/>
  <c r="C100" i="3"/>
  <c r="C103" i="3" s="1"/>
  <c r="AS119" i="3"/>
  <c r="AS161" i="3"/>
  <c r="AS126" i="3"/>
  <c r="AU157" i="3"/>
  <c r="AU139" i="3"/>
  <c r="AU125" i="3"/>
  <c r="AT151" i="3"/>
  <c r="AU156" i="3"/>
  <c r="AS145" i="3"/>
  <c r="AU138" i="3"/>
  <c r="AS160" i="3"/>
  <c r="AU174" i="3"/>
  <c r="AT126" i="3"/>
  <c r="AU116" i="3"/>
  <c r="AU150" i="3"/>
  <c r="AU177" i="3"/>
  <c r="AS180" i="3"/>
  <c r="AT121" i="3"/>
  <c r="AU178" i="3"/>
  <c r="AU171" i="3"/>
  <c r="AS135" i="3"/>
  <c r="AU172" i="3"/>
  <c r="AU175" i="3"/>
  <c r="AT153" i="3"/>
  <c r="AT181" i="3"/>
  <c r="AS146" i="3"/>
  <c r="AS116" i="3"/>
  <c r="AS177" i="3"/>
  <c r="AT182" i="3"/>
  <c r="AU37" i="3"/>
  <c r="AT42" i="3"/>
  <c r="AU144" i="3"/>
  <c r="AS133" i="3"/>
  <c r="AT163" i="3"/>
  <c r="AU166" i="3"/>
  <c r="AT170" i="3"/>
  <c r="AT169" i="3"/>
  <c r="AT120" i="3"/>
  <c r="AS152" i="3"/>
  <c r="AT168" i="3"/>
  <c r="AU145" i="3"/>
  <c r="AT117" i="3"/>
  <c r="AT140" i="3"/>
  <c r="AT180" i="3"/>
  <c r="AU153" i="3"/>
  <c r="AU111" i="3"/>
  <c r="AU113" i="3"/>
  <c r="AS168" i="3"/>
  <c r="AU149" i="3"/>
  <c r="AT123" i="3"/>
  <c r="AT124" i="3"/>
  <c r="AT118" i="3"/>
  <c r="AU142" i="3"/>
  <c r="AT132" i="3"/>
  <c r="AS170" i="3"/>
  <c r="AS158" i="3"/>
  <c r="AT167" i="3"/>
  <c r="AS166" i="3"/>
  <c r="AT113" i="3"/>
  <c r="AS143" i="3"/>
  <c r="AS159" i="3"/>
  <c r="AT144" i="3"/>
  <c r="AU151" i="3"/>
  <c r="AS136" i="3"/>
  <c r="AT177" i="3"/>
  <c r="AS149" i="3"/>
  <c r="AU179" i="3"/>
  <c r="AT133" i="3"/>
  <c r="AT145" i="3"/>
  <c r="AU122" i="3"/>
  <c r="AU115" i="3"/>
  <c r="AT125" i="3"/>
  <c r="AU176" i="3"/>
  <c r="AT138" i="3"/>
  <c r="AS115" i="3"/>
  <c r="AT179" i="3"/>
  <c r="AS117" i="3"/>
  <c r="AT154" i="3"/>
  <c r="AS162" i="3"/>
  <c r="AU120" i="3"/>
  <c r="AS171" i="3"/>
  <c r="AS163" i="3"/>
  <c r="AU161" i="3"/>
  <c r="AT161" i="3"/>
  <c r="AU162" i="3"/>
  <c r="AT172" i="3"/>
  <c r="AU143" i="3"/>
  <c r="AS178" i="3"/>
  <c r="AT159" i="3"/>
  <c r="AS137" i="3"/>
  <c r="AT164" i="3"/>
  <c r="AU127" i="3"/>
  <c r="AT139" i="3"/>
  <c r="AS127" i="3"/>
  <c r="AT130" i="3"/>
  <c r="AS141" i="3"/>
  <c r="AT119" i="3"/>
  <c r="AU112" i="3"/>
  <c r="AS122" i="3"/>
  <c r="AS154" i="3"/>
  <c r="AT134" i="3"/>
  <c r="AS112" i="3"/>
  <c r="AS176" i="3"/>
  <c r="AS114" i="3"/>
  <c r="AU181" i="3"/>
  <c r="C99" i="3"/>
  <c r="AT141" i="3"/>
  <c r="AU137" i="3"/>
  <c r="AT162" i="3"/>
  <c r="AU158" i="3"/>
  <c r="AS155" i="3"/>
  <c r="AT122" i="3"/>
  <c r="AU123" i="3"/>
  <c r="AU154" i="3"/>
  <c r="AT165" i="3"/>
  <c r="AT137" i="3"/>
  <c r="AS169" i="3"/>
  <c r="AT148" i="3"/>
  <c r="AS120" i="3"/>
  <c r="AS148" i="3"/>
  <c r="AS121" i="3"/>
  <c r="AT127" i="3"/>
  <c r="AS150" i="3"/>
  <c r="AU155" i="3"/>
  <c r="AT135" i="3"/>
  <c r="AS181" i="3"/>
  <c r="AU134" i="3"/>
  <c r="AT115" i="3"/>
  <c r="AU148" i="3"/>
  <c r="AS125" i="3"/>
  <c r="AT176" i="3"/>
  <c r="AS111" i="3"/>
  <c r="AT178" i="3"/>
  <c r="AS140" i="3"/>
  <c r="AT136" i="3"/>
  <c r="AT171" i="3"/>
  <c r="AT155" i="3"/>
  <c r="AU152" i="3"/>
  <c r="AU170" i="3"/>
  <c r="AT173" i="3"/>
  <c r="AU147" i="3"/>
  <c r="AT160" i="3"/>
  <c r="AS128" i="3"/>
  <c r="AU168" i="3"/>
  <c r="AS147" i="3"/>
  <c r="AS175" i="3"/>
  <c r="AS134" i="3"/>
  <c r="AT149" i="3"/>
  <c r="AS124" i="3"/>
  <c r="AU146" i="3"/>
  <c r="AS151" i="3"/>
  <c r="AT131" i="3"/>
  <c r="AU180" i="3"/>
  <c r="AS130" i="3"/>
  <c r="AT112" i="3"/>
  <c r="AS144" i="3"/>
  <c r="AU124" i="3"/>
  <c r="AU117" i="3"/>
  <c r="AS179" i="3"/>
  <c r="C34" i="3"/>
  <c r="C17" i="1"/>
  <c r="AT7" i="7"/>
  <c r="AO12" i="7"/>
  <c r="AY14" i="7"/>
  <c r="U16" i="7"/>
  <c r="Z18" i="7"/>
  <c r="AO28" i="7"/>
  <c r="AE29" i="7"/>
  <c r="Z43" i="7"/>
  <c r="AY55" i="7"/>
  <c r="AO59" i="7"/>
  <c r="AT60" i="7"/>
  <c r="AO79" i="7"/>
  <c r="AJ86" i="7"/>
  <c r="AO87" i="7"/>
  <c r="AY46" i="7"/>
  <c r="AJ7" i="7"/>
  <c r="U10" i="7"/>
  <c r="AE12" i="7"/>
  <c r="Z21" i="7"/>
  <c r="AT25" i="7"/>
  <c r="AO30" i="7"/>
  <c r="AY10" i="7"/>
  <c r="U19" i="7"/>
  <c r="AT27" i="7"/>
  <c r="AJ57" i="7"/>
  <c r="U79" i="7"/>
  <c r="Z9" i="7"/>
  <c r="Z22" i="7"/>
  <c r="AT26" i="7"/>
  <c r="AO10" i="7"/>
  <c r="AJ18" i="7"/>
  <c r="AJ43" i="7"/>
  <c r="AO44" i="7"/>
  <c r="AO82" i="7"/>
  <c r="AT83" i="7"/>
  <c r="AY84" i="7"/>
  <c r="U86" i="7"/>
  <c r="Z87" i="7"/>
  <c r="AY19" i="7"/>
  <c r="AJ29" i="7"/>
  <c r="AE31" i="7"/>
  <c r="AJ32" i="7"/>
  <c r="AO37" i="7"/>
  <c r="AE38" i="7"/>
  <c r="Z47" i="7"/>
  <c r="Z50" i="7"/>
  <c r="AJ52" i="7"/>
  <c r="AO53" i="7"/>
  <c r="Z59" i="7"/>
  <c r="AT63" i="7"/>
  <c r="AT64" i="7"/>
  <c r="AO71" i="7"/>
  <c r="AT72" i="7"/>
  <c r="AJ9" i="7"/>
  <c r="AJ11" i="7"/>
  <c r="Z12" i="7"/>
  <c r="AJ14" i="7"/>
  <c r="AT16" i="7"/>
  <c r="AE26" i="7"/>
  <c r="AT38" i="7"/>
  <c r="AJ39" i="7"/>
  <c r="AO40" i="7"/>
  <c r="AT41" i="7"/>
  <c r="AY42" i="7"/>
  <c r="U44" i="7"/>
  <c r="AO45" i="7"/>
  <c r="AT54" i="7"/>
  <c r="AJ55" i="7"/>
  <c r="AJ10" i="7"/>
  <c r="AO19" i="7"/>
  <c r="AJ28" i="7"/>
  <c r="AE33" i="7"/>
  <c r="AO39" i="7"/>
  <c r="AT40" i="7"/>
  <c r="AO46" i="7"/>
  <c r="AT48" i="7"/>
  <c r="U51" i="7"/>
  <c r="U53" i="7"/>
  <c r="AE53" i="7"/>
  <c r="U57" i="7"/>
  <c r="AT57" i="7"/>
  <c r="Z58" i="7"/>
  <c r="AE59" i="7"/>
  <c r="U60" i="7"/>
  <c r="AT62" i="7"/>
  <c r="Z64" i="7"/>
  <c r="AJ64" i="7"/>
  <c r="AT66" i="7"/>
  <c r="Z70" i="7"/>
  <c r="AE71" i="7"/>
  <c r="AJ72" i="7"/>
  <c r="AT74" i="7"/>
  <c r="AY75" i="7"/>
  <c r="Z78" i="7"/>
  <c r="AE79" i="7"/>
  <c r="Z86" i="7"/>
  <c r="U8" i="7"/>
  <c r="AJ21" i="7"/>
  <c r="AY24" i="7"/>
  <c r="U26" i="7"/>
  <c r="Z27" i="7"/>
  <c r="AY28" i="7"/>
  <c r="AO29" i="7"/>
  <c r="U30" i="7"/>
  <c r="Z31" i="7"/>
  <c r="AJ33" i="7"/>
  <c r="AO34" i="7"/>
  <c r="AT35" i="7"/>
  <c r="AJ36" i="7"/>
  <c r="AT37" i="7"/>
  <c r="AE40" i="7"/>
  <c r="AE47" i="7"/>
  <c r="Z51" i="7"/>
  <c r="AE52" i="7"/>
  <c r="AJ54" i="7"/>
  <c r="Z55" i="7"/>
  <c r="AY60" i="7"/>
  <c r="U62" i="7"/>
  <c r="AY63" i="7"/>
  <c r="AO70" i="7"/>
  <c r="AT71" i="7"/>
  <c r="AY72" i="7"/>
  <c r="AO78" i="7"/>
  <c r="AO86" i="7"/>
  <c r="U7" i="7"/>
  <c r="AO11" i="7"/>
  <c r="Z13" i="7"/>
  <c r="AE14" i="7"/>
  <c r="AO16" i="7"/>
  <c r="AE19" i="7"/>
  <c r="U25" i="7"/>
  <c r="Z28" i="7"/>
  <c r="AY38" i="7"/>
  <c r="AE39" i="7"/>
  <c r="AY57" i="7"/>
  <c r="U87" i="7"/>
  <c r="AE28" i="7"/>
  <c r="U45" i="7"/>
  <c r="U46" i="7"/>
  <c r="AT46" i="7"/>
  <c r="AT49" i="7"/>
  <c r="AY50" i="7"/>
  <c r="Z54" i="7"/>
  <c r="AT61" i="7"/>
  <c r="AO63" i="7"/>
  <c r="AT87" i="7"/>
  <c r="AE9" i="7"/>
  <c r="AE10" i="7"/>
  <c r="AJ17" i="7"/>
  <c r="AY20" i="7"/>
  <c r="AE21" i="7"/>
  <c r="AJ22" i="7"/>
  <c r="AO23" i="7"/>
  <c r="AT29" i="7"/>
  <c r="AJ30" i="7"/>
  <c r="AT32" i="7"/>
  <c r="AY33" i="7"/>
  <c r="U35" i="7"/>
  <c r="Z37" i="7"/>
  <c r="AY37" i="7"/>
  <c r="AJ42" i="7"/>
  <c r="AJ45" i="7"/>
  <c r="Z48" i="7"/>
  <c r="AY53" i="7"/>
  <c r="AE54" i="7"/>
  <c r="U55" i="7"/>
  <c r="AE55" i="7"/>
  <c r="Z62" i="7"/>
  <c r="AY8" i="7"/>
  <c r="AY13" i="7"/>
  <c r="AY23" i="7"/>
  <c r="AY41" i="7"/>
  <c r="AY49" i="7"/>
  <c r="AY61" i="7"/>
  <c r="AY73" i="7"/>
  <c r="AY81" i="7"/>
  <c r="AY7" i="7"/>
  <c r="AY12" i="7"/>
  <c r="AY26" i="7"/>
  <c r="AY31" i="7"/>
  <c r="AY36" i="7"/>
  <c r="AY44" i="7"/>
  <c r="AY48" i="7"/>
  <c r="AY54" i="7"/>
  <c r="AY70" i="7"/>
  <c r="AY18" i="7"/>
  <c r="AY25" i="7"/>
  <c r="AY30" i="7"/>
  <c r="AY43" i="7"/>
  <c r="AY58" i="7"/>
  <c r="AY67" i="7"/>
  <c r="AY83" i="7"/>
  <c r="AY64" i="7"/>
  <c r="AY80" i="7"/>
  <c r="AY17" i="7"/>
  <c r="AY32" i="7"/>
  <c r="AY69" i="7"/>
  <c r="AY77" i="7"/>
  <c r="AY85" i="7"/>
  <c r="AY9" i="7"/>
  <c r="AY11" i="7"/>
  <c r="AY16" i="7"/>
  <c r="AY22" i="7"/>
  <c r="AY35" i="7"/>
  <c r="AY40" i="7"/>
  <c r="AY45" i="7"/>
  <c r="AY47" i="7"/>
  <c r="AY52" i="7"/>
  <c r="AY62" i="7"/>
  <c r="AY66" i="7"/>
  <c r="AY74" i="7"/>
  <c r="AY82" i="7"/>
  <c r="AY6" i="7"/>
  <c r="AY21" i="7"/>
  <c r="AY27" i="7"/>
  <c r="AY29" i="7"/>
  <c r="AY34" i="7"/>
  <c r="AY39" i="7"/>
  <c r="AY59" i="7"/>
  <c r="AY71" i="7"/>
  <c r="AY79" i="7"/>
  <c r="AY87" i="7"/>
  <c r="AT8" i="7"/>
  <c r="AT11" i="7"/>
  <c r="AT14" i="7"/>
  <c r="AT24" i="7"/>
  <c r="AT30" i="7"/>
  <c r="AT43" i="7"/>
  <c r="AT80" i="7"/>
  <c r="AT10" i="7"/>
  <c r="AT13" i="7"/>
  <c r="AT42" i="7"/>
  <c r="AT45" i="7"/>
  <c r="AT47" i="7"/>
  <c r="AT50" i="7"/>
  <c r="AT82" i="7"/>
  <c r="AT15" i="7"/>
  <c r="AT21" i="7"/>
  <c r="AT28" i="7"/>
  <c r="AT31" i="7"/>
  <c r="AT44" i="7"/>
  <c r="AT52" i="7"/>
  <c r="AT59" i="7"/>
  <c r="AT79" i="7"/>
  <c r="AT34" i="7"/>
  <c r="AT39" i="7"/>
  <c r="AT51" i="7"/>
  <c r="AT68" i="7"/>
  <c r="AT84" i="7"/>
  <c r="AT17" i="7"/>
  <c r="AT20" i="7"/>
  <c r="AT23" i="7"/>
  <c r="AT33" i="7"/>
  <c r="AT36" i="7"/>
  <c r="AT55" i="7"/>
  <c r="AT58" i="7"/>
  <c r="AT73" i="7"/>
  <c r="AT81" i="7"/>
  <c r="AT6" i="7"/>
  <c r="AT12" i="7"/>
  <c r="AT19" i="7"/>
  <c r="AT22" i="7"/>
  <c r="AT53" i="7"/>
  <c r="AT70" i="7"/>
  <c r="AT78" i="7"/>
  <c r="AT86" i="7"/>
  <c r="AO8" i="7"/>
  <c r="AO22" i="7"/>
  <c r="AO33" i="7"/>
  <c r="AO38" i="7"/>
  <c r="AO43" i="7"/>
  <c r="AO48" i="7"/>
  <c r="AO7" i="7"/>
  <c r="AO21" i="7"/>
  <c r="AO27" i="7"/>
  <c r="AO32" i="7"/>
  <c r="AO51" i="7"/>
  <c r="AO54" i="7"/>
  <c r="AO56" i="7"/>
  <c r="AO61" i="7"/>
  <c r="AO68" i="7"/>
  <c r="AO76" i="7"/>
  <c r="AO84" i="7"/>
  <c r="AO24" i="7"/>
  <c r="AO35" i="7"/>
  <c r="AO50" i="7"/>
  <c r="AO73" i="7"/>
  <c r="AO81" i="7"/>
  <c r="AO58" i="7"/>
  <c r="AO15" i="7"/>
  <c r="AO26" i="7"/>
  <c r="AO47" i="7"/>
  <c r="AO64" i="7"/>
  <c r="AO75" i="7"/>
  <c r="AO83" i="7"/>
  <c r="AO9" i="7"/>
  <c r="AO14" i="7"/>
  <c r="AO20" i="7"/>
  <c r="AO25" i="7"/>
  <c r="AO42" i="7"/>
  <c r="AO57" i="7"/>
  <c r="AO60" i="7"/>
  <c r="AO72" i="7"/>
  <c r="AO80" i="7"/>
  <c r="AO6" i="7"/>
  <c r="AO17" i="7"/>
  <c r="AO31" i="7"/>
  <c r="AO36" i="7"/>
  <c r="AO41" i="7"/>
  <c r="AO77" i="7"/>
  <c r="AO85" i="7"/>
  <c r="AJ8" i="7"/>
  <c r="AJ12" i="7"/>
  <c r="AJ31" i="7"/>
  <c r="AJ46" i="7"/>
  <c r="AJ47" i="7"/>
  <c r="AJ50" i="7"/>
  <c r="AJ60" i="7"/>
  <c r="AJ63" i="7"/>
  <c r="AJ65" i="7"/>
  <c r="AJ70" i="7"/>
  <c r="AJ78" i="7"/>
  <c r="AJ19" i="7"/>
  <c r="AJ20" i="7"/>
  <c r="AJ23" i="7"/>
  <c r="AJ34" i="7"/>
  <c r="AJ44" i="7"/>
  <c r="AJ49" i="7"/>
  <c r="AJ67" i="7"/>
  <c r="AJ75" i="7"/>
  <c r="AJ83" i="7"/>
  <c r="AJ80" i="7"/>
  <c r="AJ13" i="7"/>
  <c r="AJ25" i="7"/>
  <c r="AJ51" i="7"/>
  <c r="AJ77" i="7"/>
  <c r="AJ85" i="7"/>
  <c r="AJ16" i="7"/>
  <c r="AJ24" i="7"/>
  <c r="AJ35" i="7"/>
  <c r="AJ37" i="7"/>
  <c r="AJ38" i="7"/>
  <c r="AJ41" i="7"/>
  <c r="AJ59" i="7"/>
  <c r="AJ66" i="7"/>
  <c r="AJ74" i="7"/>
  <c r="AJ82" i="7"/>
  <c r="AJ15" i="7"/>
  <c r="AJ40" i="7"/>
  <c r="AJ53" i="7"/>
  <c r="AJ71" i="7"/>
  <c r="AJ79" i="7"/>
  <c r="AJ87" i="7"/>
  <c r="AJ6" i="7"/>
  <c r="AJ26" i="7"/>
  <c r="AJ48" i="7"/>
  <c r="AJ58" i="7"/>
  <c r="AJ76" i="7"/>
  <c r="AJ84" i="7"/>
  <c r="AE6" i="7"/>
  <c r="AE15" i="7"/>
  <c r="AE24" i="7"/>
  <c r="AE32" i="7"/>
  <c r="AE51" i="7"/>
  <c r="AE69" i="7"/>
  <c r="AE77" i="7"/>
  <c r="AE85" i="7"/>
  <c r="AE23" i="7"/>
  <c r="AE35" i="7"/>
  <c r="AE50" i="7"/>
  <c r="AE66" i="7"/>
  <c r="AE74" i="7"/>
  <c r="AE82" i="7"/>
  <c r="AE8" i="7"/>
  <c r="AE34" i="7"/>
  <c r="AE45" i="7"/>
  <c r="AE87" i="7"/>
  <c r="AE7" i="7"/>
  <c r="AE11" i="7"/>
  <c r="AE16" i="7"/>
  <c r="AE20" i="7"/>
  <c r="AE25" i="7"/>
  <c r="AE76" i="7"/>
  <c r="AE84" i="7"/>
  <c r="AE42" i="7"/>
  <c r="AE58" i="7"/>
  <c r="AE73" i="7"/>
  <c r="AE81" i="7"/>
  <c r="AE36" i="7"/>
  <c r="AE41" i="7"/>
  <c r="AE63" i="7"/>
  <c r="AE70" i="7"/>
  <c r="AE78" i="7"/>
  <c r="AE86" i="7"/>
  <c r="AE13" i="7"/>
  <c r="AE22" i="7"/>
  <c r="AE27" i="7"/>
  <c r="AE30" i="7"/>
  <c r="AE44" i="7"/>
  <c r="AE49" i="7"/>
  <c r="AE57" i="7"/>
  <c r="AE60" i="7"/>
  <c r="AE75" i="7"/>
  <c r="AE83" i="7"/>
  <c r="Z7" i="7"/>
  <c r="Z16" i="7"/>
  <c r="Z25" i="7"/>
  <c r="Z34" i="7"/>
  <c r="Z44" i="7"/>
  <c r="Z49" i="7"/>
  <c r="Z68" i="7"/>
  <c r="Z76" i="7"/>
  <c r="Z84" i="7"/>
  <c r="Z6" i="7"/>
  <c r="Z15" i="7"/>
  <c r="Z24" i="7"/>
  <c r="Z33" i="7"/>
  <c r="Z36" i="7"/>
  <c r="Z39" i="7"/>
  <c r="Z52" i="7"/>
  <c r="Z60" i="7"/>
  <c r="Z63" i="7"/>
  <c r="Z73" i="7"/>
  <c r="Z81" i="7"/>
  <c r="Z8" i="7"/>
  <c r="Z17" i="7"/>
  <c r="Z26" i="7"/>
  <c r="Z35" i="7"/>
  <c r="Z38" i="7"/>
  <c r="Z41" i="7"/>
  <c r="Z57" i="7"/>
  <c r="Z75" i="7"/>
  <c r="Z83" i="7"/>
  <c r="Z30" i="7"/>
  <c r="Z40" i="7"/>
  <c r="Z53" i="7"/>
  <c r="Z72" i="7"/>
  <c r="Z80" i="7"/>
  <c r="Z10" i="7"/>
  <c r="Z19" i="7"/>
  <c r="Z69" i="7"/>
  <c r="Z77" i="7"/>
  <c r="Z85" i="7"/>
  <c r="Z11" i="7"/>
  <c r="Z14" i="7"/>
  <c r="Z20" i="7"/>
  <c r="Z23" i="7"/>
  <c r="Z29" i="7"/>
  <c r="Z32" i="7"/>
  <c r="Z42" i="7"/>
  <c r="Z45" i="7"/>
  <c r="Z46" i="7"/>
  <c r="Z74" i="7"/>
  <c r="Z82" i="7"/>
  <c r="U11" i="7"/>
  <c r="U20" i="7"/>
  <c r="U29" i="7"/>
  <c r="U34" i="7"/>
  <c r="U40" i="7"/>
  <c r="U50" i="7"/>
  <c r="U67" i="7"/>
  <c r="U75" i="7"/>
  <c r="U83" i="7"/>
  <c r="U39" i="7"/>
  <c r="U54" i="7"/>
  <c r="U59" i="7"/>
  <c r="U72" i="7"/>
  <c r="U80" i="7"/>
  <c r="U42" i="7"/>
  <c r="U47" i="7"/>
  <c r="U52" i="7"/>
  <c r="U69" i="7"/>
  <c r="U77" i="7"/>
  <c r="U85" i="7"/>
  <c r="U9" i="7"/>
  <c r="U13" i="7"/>
  <c r="U18" i="7"/>
  <c r="U22" i="7"/>
  <c r="U27" i="7"/>
  <c r="U31" i="7"/>
  <c r="U36" i="7"/>
  <c r="U41" i="7"/>
  <c r="U61" i="7"/>
  <c r="U74" i="7"/>
  <c r="U82" i="7"/>
  <c r="U12" i="7"/>
  <c r="U21" i="7"/>
  <c r="U6" i="7"/>
  <c r="U15" i="7"/>
  <c r="U24" i="7"/>
  <c r="U33" i="7"/>
  <c r="U38" i="7"/>
  <c r="U43" i="7"/>
  <c r="U49" i="7"/>
  <c r="U58" i="7"/>
  <c r="U68" i="7"/>
  <c r="U76" i="7"/>
  <c r="U84" i="7"/>
  <c r="U14" i="7"/>
  <c r="U23" i="7"/>
  <c r="U32" i="7"/>
  <c r="U48" i="7"/>
  <c r="U63" i="7"/>
  <c r="U64" i="7"/>
  <c r="U73" i="7"/>
  <c r="U81" i="7"/>
  <c r="AO66" i="7"/>
  <c r="AT67" i="7"/>
  <c r="AY68" i="7"/>
  <c r="AY56" i="7"/>
  <c r="Z56" i="7"/>
  <c r="AJ61" i="7"/>
  <c r="AO62" i="7"/>
  <c r="AY65" i="7"/>
  <c r="Z65" i="7"/>
  <c r="Z61" i="7"/>
  <c r="AE62" i="7"/>
  <c r="AO65" i="7"/>
  <c r="U66" i="7"/>
  <c r="Z67" i="7"/>
  <c r="AE68" i="7"/>
  <c r="AJ69" i="7"/>
  <c r="AE56" i="7"/>
  <c r="AT56" i="7"/>
  <c r="AE65" i="7"/>
  <c r="U56" i="7"/>
  <c r="AE61" i="7"/>
  <c r="AJ62" i="7"/>
  <c r="AT65" i="7"/>
  <c r="Z66" i="7"/>
  <c r="AE67" i="7"/>
  <c r="AJ68" i="7"/>
  <c r="AO69" i="7"/>
  <c r="AJ110" i="3"/>
  <c r="AJ178" i="3"/>
  <c r="AJ181" i="3"/>
  <c r="AK113" i="3"/>
  <c r="AK116" i="3"/>
  <c r="AI117" i="3"/>
  <c r="AI182" i="3"/>
  <c r="AK178" i="3"/>
  <c r="AK181" i="3"/>
  <c r="AI111" i="3"/>
  <c r="AI114" i="3"/>
  <c r="AJ117" i="3"/>
  <c r="AJ182" i="3"/>
  <c r="AI176" i="3"/>
  <c r="AI179" i="3"/>
  <c r="AJ111" i="3"/>
  <c r="AJ114" i="3"/>
  <c r="AK117" i="3"/>
  <c r="AK182" i="3"/>
  <c r="AJ176" i="3"/>
  <c r="AJ179" i="3"/>
  <c r="AK111" i="3"/>
  <c r="AK114" i="3"/>
  <c r="AI115" i="3"/>
  <c r="AI118" i="3"/>
  <c r="AJ121" i="3"/>
  <c r="AJ124" i="3"/>
  <c r="AK128" i="3"/>
  <c r="AJ129" i="3"/>
  <c r="AJ133" i="3"/>
  <c r="AI134" i="3"/>
  <c r="AI138" i="3"/>
  <c r="AJ143" i="3"/>
  <c r="AJ148" i="3"/>
  <c r="AK153" i="3"/>
  <c r="AK176" i="3"/>
  <c r="AK179" i="3"/>
  <c r="AI180" i="3"/>
  <c r="AI112" i="3"/>
  <c r="AJ115" i="3"/>
  <c r="AJ118" i="3"/>
  <c r="AK121" i="3"/>
  <c r="AK124" i="3"/>
  <c r="AI125" i="3"/>
  <c r="AK129" i="3"/>
  <c r="AK133" i="3"/>
  <c r="AJ134" i="3"/>
  <c r="AI177" i="3"/>
  <c r="AJ180" i="3"/>
  <c r="AJ112" i="3"/>
  <c r="AK115" i="3"/>
  <c r="AK118" i="3"/>
  <c r="AJ177" i="3"/>
  <c r="AK180" i="3"/>
  <c r="AK112" i="3"/>
  <c r="AI113" i="3"/>
  <c r="AI116" i="3"/>
  <c r="AJ119" i="3"/>
  <c r="AJ122" i="3"/>
  <c r="AK125" i="3"/>
  <c r="AJ126" i="3"/>
  <c r="AJ130" i="3"/>
  <c r="AI131" i="3"/>
  <c r="AJ135" i="3"/>
  <c r="AK139" i="3"/>
  <c r="AI140" i="3"/>
  <c r="AK144" i="3"/>
  <c r="AJ145" i="3"/>
  <c r="AK149" i="3"/>
  <c r="AJ150" i="3"/>
  <c r="AK154" i="3"/>
  <c r="AJ155" i="3"/>
  <c r="AI119" i="3"/>
  <c r="AK120" i="3"/>
  <c r="AI128" i="3"/>
  <c r="AI136" i="3"/>
  <c r="AK137" i="3"/>
  <c r="AK138" i="3"/>
  <c r="AI141" i="3"/>
  <c r="AK142" i="3"/>
  <c r="AI146" i="3"/>
  <c r="AK147" i="3"/>
  <c r="AI151" i="3"/>
  <c r="AK152" i="3"/>
  <c r="AI178" i="3"/>
  <c r="AJ113" i="3"/>
  <c r="AK119" i="3"/>
  <c r="AI122" i="3"/>
  <c r="AI127" i="3"/>
  <c r="AJ128" i="3"/>
  <c r="AK122" i="3"/>
  <c r="AJ125" i="3"/>
  <c r="AJ127" i="3"/>
  <c r="AI130" i="3"/>
  <c r="AI133" i="3"/>
  <c r="AI135" i="3"/>
  <c r="AK136" i="3"/>
  <c r="AK141" i="3"/>
  <c r="AI145" i="3"/>
  <c r="AK146" i="3"/>
  <c r="AI150" i="3"/>
  <c r="AK151" i="3"/>
  <c r="AK177" i="3"/>
  <c r="AK127" i="3"/>
  <c r="AJ132" i="3"/>
  <c r="AI139" i="3"/>
  <c r="AK140" i="3"/>
  <c r="AI144" i="3"/>
  <c r="AI149" i="3"/>
  <c r="AI154" i="3"/>
  <c r="AK158" i="3"/>
  <c r="AI159" i="3"/>
  <c r="AK163" i="3"/>
  <c r="AI164" i="3"/>
  <c r="AJ168" i="3"/>
  <c r="AJ171" i="3"/>
  <c r="AK174" i="3"/>
  <c r="AI181" i="3"/>
  <c r="AJ116" i="3"/>
  <c r="AI121" i="3"/>
  <c r="AI123" i="3"/>
  <c r="AI124" i="3"/>
  <c r="AI126" i="3"/>
  <c r="AK132" i="3"/>
  <c r="AJ139" i="3"/>
  <c r="AJ144" i="3"/>
  <c r="AJ149" i="3"/>
  <c r="AI153" i="3"/>
  <c r="AJ154" i="3"/>
  <c r="AJ159" i="3"/>
  <c r="AJ164" i="3"/>
  <c r="AK168" i="3"/>
  <c r="AK171" i="3"/>
  <c r="AI172" i="3"/>
  <c r="AI175" i="3"/>
  <c r="AI120" i="3"/>
  <c r="AJ123" i="3"/>
  <c r="AK126" i="3"/>
  <c r="AI129" i="3"/>
  <c r="AJ131" i="3"/>
  <c r="AI137" i="3"/>
  <c r="AI142" i="3"/>
  <c r="AI143" i="3"/>
  <c r="AI147" i="3"/>
  <c r="AI148" i="3"/>
  <c r="AI152" i="3"/>
  <c r="AJ153" i="3"/>
  <c r="AK159" i="3"/>
  <c r="AI160" i="3"/>
  <c r="AK164" i="3"/>
  <c r="AI165" i="3"/>
  <c r="AI169" i="3"/>
  <c r="AJ172" i="3"/>
  <c r="AJ175" i="3"/>
  <c r="AI156" i="3"/>
  <c r="AK157" i="3"/>
  <c r="AI161" i="3"/>
  <c r="AJ162" i="3"/>
  <c r="AK165" i="3"/>
  <c r="AI167" i="3"/>
  <c r="AJ170" i="3"/>
  <c r="AI173" i="3"/>
  <c r="AJ174" i="3"/>
  <c r="AJ120" i="3"/>
  <c r="AK131" i="3"/>
  <c r="AI132" i="3"/>
  <c r="AK134" i="3"/>
  <c r="AK135" i="3"/>
  <c r="AJ136" i="3"/>
  <c r="AJ137" i="3"/>
  <c r="AJ156" i="3"/>
  <c r="AJ161" i="3"/>
  <c r="AK162" i="3"/>
  <c r="AJ167" i="3"/>
  <c r="AK170" i="3"/>
  <c r="AJ173" i="3"/>
  <c r="AK130" i="3"/>
  <c r="AJ138" i="3"/>
  <c r="AJ140" i="3"/>
  <c r="AJ141" i="3"/>
  <c r="AJ142" i="3"/>
  <c r="AK156" i="3"/>
  <c r="AK161" i="3"/>
  <c r="AI166" i="3"/>
  <c r="AK167" i="3"/>
  <c r="AK173" i="3"/>
  <c r="AK143" i="3"/>
  <c r="AK145" i="3"/>
  <c r="AJ146" i="3"/>
  <c r="AJ147" i="3"/>
  <c r="AJ166" i="3"/>
  <c r="AJ169" i="3"/>
  <c r="AI168" i="3"/>
  <c r="AK123" i="3"/>
  <c r="AK148" i="3"/>
  <c r="AI158" i="3"/>
  <c r="AK166" i="3"/>
  <c r="AK169" i="3"/>
  <c r="AK172" i="3"/>
  <c r="AK150" i="3"/>
  <c r="AI155" i="3"/>
  <c r="AJ158" i="3"/>
  <c r="AJ160" i="3"/>
  <c r="AI163" i="3"/>
  <c r="AK175" i="3"/>
  <c r="AI171" i="3"/>
  <c r="AJ151" i="3"/>
  <c r="AJ152" i="3"/>
  <c r="AK155" i="3"/>
  <c r="AI157" i="3"/>
  <c r="AK160" i="3"/>
  <c r="AJ163" i="3"/>
  <c r="AJ157" i="3"/>
  <c r="AI162" i="3"/>
  <c r="AJ165" i="3"/>
  <c r="AI170" i="3"/>
  <c r="AI174" i="3"/>
  <c r="AD81" i="3"/>
  <c r="AF182" i="3"/>
  <c r="AE176" i="3"/>
  <c r="AF179" i="3"/>
  <c r="AF111" i="3"/>
  <c r="AD112" i="3"/>
  <c r="AD115" i="3"/>
  <c r="AE118" i="3"/>
  <c r="AF176" i="3"/>
  <c r="AD177" i="3"/>
  <c r="AD180" i="3"/>
  <c r="AE112" i="3"/>
  <c r="AE115" i="3"/>
  <c r="AE177" i="3"/>
  <c r="AE180" i="3"/>
  <c r="AF112" i="3"/>
  <c r="AF115" i="3"/>
  <c r="AD116" i="3"/>
  <c r="AF177" i="3"/>
  <c r="AF180" i="3"/>
  <c r="AD181" i="3"/>
  <c r="AD113" i="3"/>
  <c r="AE116" i="3"/>
  <c r="AE119" i="3"/>
  <c r="AF122" i="3"/>
  <c r="AF125" i="3"/>
  <c r="AE126" i="3"/>
  <c r="AF130" i="3"/>
  <c r="AD131" i="3"/>
  <c r="AE135" i="3"/>
  <c r="AF139" i="3"/>
  <c r="AE140" i="3"/>
  <c r="AF144" i="3"/>
  <c r="AE145" i="3"/>
  <c r="AF149" i="3"/>
  <c r="AE150" i="3"/>
  <c r="AE155" i="3"/>
  <c r="AD156" i="3"/>
  <c r="AD178" i="3"/>
  <c r="AE181" i="3"/>
  <c r="AE113" i="3"/>
  <c r="AF116" i="3"/>
  <c r="AF119" i="3"/>
  <c r="AD120" i="3"/>
  <c r="AD123" i="3"/>
  <c r="AF126" i="3"/>
  <c r="AD127" i="3"/>
  <c r="AE131" i="3"/>
  <c r="AD132" i="3"/>
  <c r="AF135" i="3"/>
  <c r="AE178" i="3"/>
  <c r="AF181" i="3"/>
  <c r="AF113" i="3"/>
  <c r="AD114" i="3"/>
  <c r="AD117" i="3"/>
  <c r="AD182" i="3"/>
  <c r="AF178" i="3"/>
  <c r="AD179" i="3"/>
  <c r="AD111" i="3"/>
  <c r="AE114" i="3"/>
  <c r="AE117" i="3"/>
  <c r="AF120" i="3"/>
  <c r="AF123" i="3"/>
  <c r="AD124" i="3"/>
  <c r="AF127" i="3"/>
  <c r="AD128" i="3"/>
  <c r="AF132" i="3"/>
  <c r="AF136" i="3"/>
  <c r="AE137" i="3"/>
  <c r="AF141" i="3"/>
  <c r="AE142" i="3"/>
  <c r="AF146" i="3"/>
  <c r="AE147" i="3"/>
  <c r="AD148" i="3"/>
  <c r="AF151" i="3"/>
  <c r="AE152" i="3"/>
  <c r="AD153" i="3"/>
  <c r="AE179" i="3"/>
  <c r="AF114" i="3"/>
  <c r="AE122" i="3"/>
  <c r="AD125" i="3"/>
  <c r="AE127" i="3"/>
  <c r="AD130" i="3"/>
  <c r="AE133" i="3"/>
  <c r="AD140" i="3"/>
  <c r="AD145" i="3"/>
  <c r="AD150" i="3"/>
  <c r="AE125" i="3"/>
  <c r="AD121" i="3"/>
  <c r="AE124" i="3"/>
  <c r="AD139" i="3"/>
  <c r="AD144" i="3"/>
  <c r="AD149" i="3"/>
  <c r="AD118" i="3"/>
  <c r="AE121" i="3"/>
  <c r="AF124" i="3"/>
  <c r="AD176" i="3"/>
  <c r="AE111" i="3"/>
  <c r="AF117" i="3"/>
  <c r="AF118" i="3"/>
  <c r="AE120" i="3"/>
  <c r="AF121" i="3"/>
  <c r="AE123" i="3"/>
  <c r="AD126" i="3"/>
  <c r="AE129" i="3"/>
  <c r="AD134" i="3"/>
  <c r="AD137" i="3"/>
  <c r="AE138" i="3"/>
  <c r="AD142" i="3"/>
  <c r="AE143" i="3"/>
  <c r="AD147" i="3"/>
  <c r="AF148" i="3"/>
  <c r="AD152" i="3"/>
  <c r="AF153" i="3"/>
  <c r="AE160" i="3"/>
  <c r="AD161" i="3"/>
  <c r="AE165" i="3"/>
  <c r="AD166" i="3"/>
  <c r="AF169" i="3"/>
  <c r="AF172" i="3"/>
  <c r="AD173" i="3"/>
  <c r="AF129" i="3"/>
  <c r="AF131" i="3"/>
  <c r="AE134" i="3"/>
  <c r="AF137" i="3"/>
  <c r="AF138" i="3"/>
  <c r="AF142" i="3"/>
  <c r="AF143" i="3"/>
  <c r="AF147" i="3"/>
  <c r="AF152" i="3"/>
  <c r="AF160" i="3"/>
  <c r="AE161" i="3"/>
  <c r="AF165" i="3"/>
  <c r="AE166" i="3"/>
  <c r="AD170" i="3"/>
  <c r="AE173" i="3"/>
  <c r="AE182" i="3"/>
  <c r="AE128" i="3"/>
  <c r="AF134" i="3"/>
  <c r="AD136" i="3"/>
  <c r="AD141" i="3"/>
  <c r="AD146" i="3"/>
  <c r="AD151" i="3"/>
  <c r="AE156" i="3"/>
  <c r="AD157" i="3"/>
  <c r="AF161" i="3"/>
  <c r="AD162" i="3"/>
  <c r="AF166" i="3"/>
  <c r="AD167" i="3"/>
  <c r="AE170" i="3"/>
  <c r="AF173" i="3"/>
  <c r="AE132" i="3"/>
  <c r="AD133" i="3"/>
  <c r="AD135" i="3"/>
  <c r="AE136" i="3"/>
  <c r="AD154" i="3"/>
  <c r="AD159" i="3"/>
  <c r="AD164" i="3"/>
  <c r="AD129" i="3"/>
  <c r="AE130" i="3"/>
  <c r="AF133" i="3"/>
  <c r="AD138" i="3"/>
  <c r="AE139" i="3"/>
  <c r="AF140" i="3"/>
  <c r="AE141" i="3"/>
  <c r="AE154" i="3"/>
  <c r="AD158" i="3"/>
  <c r="AE159" i="3"/>
  <c r="AE164" i="3"/>
  <c r="AD169" i="3"/>
  <c r="AD119" i="3"/>
  <c r="AF128" i="3"/>
  <c r="AD143" i="3"/>
  <c r="AE144" i="3"/>
  <c r="AF145" i="3"/>
  <c r="AE146" i="3"/>
  <c r="AF154" i="3"/>
  <c r="AE158" i="3"/>
  <c r="AF159" i="3"/>
  <c r="AD163" i="3"/>
  <c r="AF164" i="3"/>
  <c r="AE169" i="3"/>
  <c r="AD172" i="3"/>
  <c r="AD175" i="3"/>
  <c r="AE148" i="3"/>
  <c r="AD155" i="3"/>
  <c r="AF158" i="3"/>
  <c r="AE163" i="3"/>
  <c r="AD171" i="3"/>
  <c r="AE172" i="3"/>
  <c r="AE175" i="3"/>
  <c r="AE168" i="3"/>
  <c r="AF171" i="3"/>
  <c r="AE149" i="3"/>
  <c r="AF150" i="3"/>
  <c r="AF155" i="3"/>
  <c r="AE157" i="3"/>
  <c r="AD160" i="3"/>
  <c r="AF163" i="3"/>
  <c r="AD168" i="3"/>
  <c r="AE171" i="3"/>
  <c r="AD174" i="3"/>
  <c r="AF175" i="3"/>
  <c r="AF167" i="3"/>
  <c r="AD122" i="3"/>
  <c r="AE151" i="3"/>
  <c r="AF157" i="3"/>
  <c r="AE162" i="3"/>
  <c r="AE174" i="3"/>
  <c r="AF162" i="3"/>
  <c r="AD165" i="3"/>
  <c r="AE167" i="3"/>
  <c r="AF168" i="3"/>
  <c r="AF170" i="3"/>
  <c r="AF174" i="3"/>
  <c r="AE153" i="3"/>
  <c r="AF156" i="3"/>
  <c r="C58" i="3"/>
  <c r="C61" i="3" s="1"/>
  <c r="AZ176" i="3"/>
  <c r="AX177" i="3"/>
  <c r="AX180" i="3"/>
  <c r="AY112" i="3"/>
  <c r="AY115" i="3"/>
  <c r="AY177" i="3"/>
  <c r="AY180" i="3"/>
  <c r="AZ112" i="3"/>
  <c r="AZ115" i="3"/>
  <c r="AX116" i="3"/>
  <c r="AZ177" i="3"/>
  <c r="AZ180" i="3"/>
  <c r="AX181" i="3"/>
  <c r="AX113" i="3"/>
  <c r="AY116" i="3"/>
  <c r="AX178" i="3"/>
  <c r="AY181" i="3"/>
  <c r="AY113" i="3"/>
  <c r="AZ116" i="3"/>
  <c r="AZ119" i="3"/>
  <c r="AX120" i="3"/>
  <c r="AX123" i="3"/>
  <c r="AX127" i="3"/>
  <c r="AZ131" i="3"/>
  <c r="AX132" i="3"/>
  <c r="AZ135" i="3"/>
  <c r="AY136" i="3"/>
  <c r="AZ140" i="3"/>
  <c r="AY141" i="3"/>
  <c r="AX142" i="3"/>
  <c r="AZ145" i="3"/>
  <c r="AY146" i="3"/>
  <c r="AX147" i="3"/>
  <c r="AY151" i="3"/>
  <c r="AX152" i="3"/>
  <c r="AX182" i="3"/>
  <c r="AY178" i="3"/>
  <c r="AZ181" i="3"/>
  <c r="AZ113" i="3"/>
  <c r="AX114" i="3"/>
  <c r="AX117" i="3"/>
  <c r="AY120" i="3"/>
  <c r="AY123" i="3"/>
  <c r="AY127" i="3"/>
  <c r="AX128" i="3"/>
  <c r="AY132" i="3"/>
  <c r="AY182" i="3"/>
  <c r="AZ178" i="3"/>
  <c r="AX179" i="3"/>
  <c r="AX111" i="3"/>
  <c r="AY114" i="3"/>
  <c r="AY117" i="3"/>
  <c r="AZ182" i="3"/>
  <c r="AX176" i="3"/>
  <c r="AY179" i="3"/>
  <c r="AY111" i="3"/>
  <c r="AZ114" i="3"/>
  <c r="AZ117" i="3"/>
  <c r="AX118" i="3"/>
  <c r="AX121" i="3"/>
  <c r="AY124" i="3"/>
  <c r="AZ128" i="3"/>
  <c r="AX129" i="3"/>
  <c r="AY133" i="3"/>
  <c r="AX134" i="3"/>
  <c r="AZ137" i="3"/>
  <c r="AX138" i="3"/>
  <c r="AX143" i="3"/>
  <c r="AY148" i="3"/>
  <c r="AY153" i="3"/>
  <c r="AX112" i="3"/>
  <c r="AY131" i="3"/>
  <c r="AY138" i="3"/>
  <c r="AY143" i="3"/>
  <c r="AZ148" i="3"/>
  <c r="AZ120" i="3"/>
  <c r="AX122" i="3"/>
  <c r="AZ123" i="3"/>
  <c r="AX125" i="3"/>
  <c r="AY176" i="3"/>
  <c r="AZ111" i="3"/>
  <c r="AX119" i="3"/>
  <c r="AY122" i="3"/>
  <c r="AY125" i="3"/>
  <c r="AY128" i="3"/>
  <c r="AX130" i="3"/>
  <c r="AX133" i="3"/>
  <c r="AX136" i="3"/>
  <c r="AY137" i="3"/>
  <c r="AX141" i="3"/>
  <c r="AZ142" i="3"/>
  <c r="AX146" i="3"/>
  <c r="AZ147" i="3"/>
  <c r="AX151" i="3"/>
  <c r="AY119" i="3"/>
  <c r="AZ122" i="3"/>
  <c r="AZ125" i="3"/>
  <c r="AX115" i="3"/>
  <c r="AY118" i="3"/>
  <c r="AZ130" i="3"/>
  <c r="AX135" i="3"/>
  <c r="AX140" i="3"/>
  <c r="AX145" i="3"/>
  <c r="AY150" i="3"/>
  <c r="AY155" i="3"/>
  <c r="AY156" i="3"/>
  <c r="AX157" i="3"/>
  <c r="AY161" i="3"/>
  <c r="AX162" i="3"/>
  <c r="AZ166" i="3"/>
  <c r="AX167" i="3"/>
  <c r="AX170" i="3"/>
  <c r="AY173" i="3"/>
  <c r="AZ118" i="3"/>
  <c r="AY121" i="3"/>
  <c r="AX124" i="3"/>
  <c r="AX126" i="3"/>
  <c r="AZ127" i="3"/>
  <c r="AY135" i="3"/>
  <c r="AX139" i="3"/>
  <c r="AY140" i="3"/>
  <c r="AX144" i="3"/>
  <c r="AY145" i="3"/>
  <c r="AX149" i="3"/>
  <c r="AZ150" i="3"/>
  <c r="AX154" i="3"/>
  <c r="AZ155" i="3"/>
  <c r="AZ156" i="3"/>
  <c r="AY157" i="3"/>
  <c r="AX158" i="3"/>
  <c r="AZ161" i="3"/>
  <c r="AY162" i="3"/>
  <c r="AX163" i="3"/>
  <c r="AY167" i="3"/>
  <c r="AY170" i="3"/>
  <c r="AZ173" i="3"/>
  <c r="AZ179" i="3"/>
  <c r="AZ121" i="3"/>
  <c r="AZ124" i="3"/>
  <c r="AY126" i="3"/>
  <c r="AY129" i="3"/>
  <c r="AZ132" i="3"/>
  <c r="AY134" i="3"/>
  <c r="AY139" i="3"/>
  <c r="AY144" i="3"/>
  <c r="AY149" i="3"/>
  <c r="AY154" i="3"/>
  <c r="AZ157" i="3"/>
  <c r="AY158" i="3"/>
  <c r="AZ162" i="3"/>
  <c r="AY163" i="3"/>
  <c r="AZ167" i="3"/>
  <c r="AZ170" i="3"/>
  <c r="AX171" i="3"/>
  <c r="AX174" i="3"/>
  <c r="AZ129" i="3"/>
  <c r="AY130" i="3"/>
  <c r="AZ133" i="3"/>
  <c r="AZ136" i="3"/>
  <c r="AX137" i="3"/>
  <c r="AZ138" i="3"/>
  <c r="AZ139" i="3"/>
  <c r="AY165" i="3"/>
  <c r="AZ168" i="3"/>
  <c r="AZ171" i="3"/>
  <c r="AY174" i="3"/>
  <c r="AZ174" i="3"/>
  <c r="AZ141" i="3"/>
  <c r="AY142" i="3"/>
  <c r="AZ143" i="3"/>
  <c r="AZ144" i="3"/>
  <c r="AX159" i="3"/>
  <c r="AZ165" i="3"/>
  <c r="AZ146" i="3"/>
  <c r="AY147" i="3"/>
  <c r="AX148" i="3"/>
  <c r="AZ154" i="3"/>
  <c r="AY159" i="3"/>
  <c r="AX164" i="3"/>
  <c r="AZ149" i="3"/>
  <c r="AX156" i="3"/>
  <c r="AZ159" i="3"/>
  <c r="AY164" i="3"/>
  <c r="AX169" i="3"/>
  <c r="AX173" i="3"/>
  <c r="AX175" i="3"/>
  <c r="AZ175" i="3"/>
  <c r="AZ126" i="3"/>
  <c r="AX150" i="3"/>
  <c r="AX161" i="3"/>
  <c r="AZ164" i="3"/>
  <c r="AX166" i="3"/>
  <c r="AY169" i="3"/>
  <c r="AX172" i="3"/>
  <c r="AY175" i="3"/>
  <c r="AZ169" i="3"/>
  <c r="AY172" i="3"/>
  <c r="AY171" i="3"/>
  <c r="AZ151" i="3"/>
  <c r="AY152" i="3"/>
  <c r="AX160" i="3"/>
  <c r="AY166" i="3"/>
  <c r="AX165" i="3"/>
  <c r="AY168" i="3"/>
  <c r="AZ152" i="3"/>
  <c r="AX153" i="3"/>
  <c r="AX155" i="3"/>
  <c r="AZ158" i="3"/>
  <c r="AY160" i="3"/>
  <c r="AX168" i="3"/>
  <c r="AZ172" i="3"/>
  <c r="AX131" i="3"/>
  <c r="AZ134" i="3"/>
  <c r="AZ153" i="3"/>
  <c r="AZ160" i="3"/>
  <c r="AZ163" i="3"/>
  <c r="AE30" i="3"/>
  <c r="AD34" i="3"/>
  <c r="AD30" i="3"/>
  <c r="AD35" i="3"/>
  <c r="AE36" i="3"/>
  <c r="AE34" i="3"/>
  <c r="AE35" i="3"/>
  <c r="AF34" i="3"/>
  <c r="AF55" i="3"/>
  <c r="AF31" i="3"/>
  <c r="AD33" i="3"/>
  <c r="AE33" i="3"/>
  <c r="AD29" i="3"/>
  <c r="AE32" i="3"/>
  <c r="AF33" i="3"/>
  <c r="AD37" i="3"/>
  <c r="AF41" i="3"/>
  <c r="AF43" i="3"/>
  <c r="AF87" i="3"/>
  <c r="AE108" i="3"/>
  <c r="AD32" i="3"/>
  <c r="AD31" i="3"/>
  <c r="AF32" i="3"/>
  <c r="AF39" i="3"/>
  <c r="AF52" i="3"/>
  <c r="AE31" i="3"/>
  <c r="AD36" i="3"/>
  <c r="AF46" i="3"/>
  <c r="AF72" i="3"/>
  <c r="C56" i="3"/>
  <c r="C60" i="3" s="1"/>
  <c r="AX31" i="3"/>
  <c r="C57" i="3"/>
  <c r="AY107" i="3"/>
  <c r="AX33" i="3"/>
  <c r="C35" i="4"/>
  <c r="AE38" i="3"/>
  <c r="AD43" i="3"/>
  <c r="AF90" i="3"/>
  <c r="AD60" i="3"/>
  <c r="C70" i="3"/>
  <c r="C74" i="3" s="1"/>
  <c r="C72" i="3"/>
  <c r="C75" i="3" s="1"/>
  <c r="C71" i="3"/>
  <c r="C86" i="3"/>
  <c r="C89" i="3" s="1"/>
  <c r="C85" i="3"/>
  <c r="C84" i="3"/>
  <c r="C88" i="3" s="1"/>
  <c r="C44" i="3"/>
  <c r="C47" i="3" s="1"/>
  <c r="C43" i="3"/>
  <c r="AD95" i="3"/>
  <c r="AD46" i="3"/>
  <c r="AD67" i="3"/>
  <c r="C40" i="4"/>
  <c r="C74" i="4"/>
  <c r="D29" i="9" s="1"/>
  <c r="AE29" i="3"/>
  <c r="AF30" i="3"/>
  <c r="AF35" i="3"/>
  <c r="AF36" i="3"/>
  <c r="AF37" i="3"/>
  <c r="AE42" i="3"/>
  <c r="AD45" i="3"/>
  <c r="AD57" i="3"/>
  <c r="AF76" i="3"/>
  <c r="AD92" i="3"/>
  <c r="AF99" i="3"/>
  <c r="AF29" i="3"/>
  <c r="AF45" i="3"/>
  <c r="AD64" i="3"/>
  <c r="AE71" i="3"/>
  <c r="AD78" i="3"/>
  <c r="AD105" i="3"/>
  <c r="C42" i="3"/>
  <c r="C46" i="3" s="1"/>
  <c r="AF61" i="3"/>
  <c r="AD70" i="3"/>
  <c r="AF96" i="3"/>
  <c r="AD40" i="3"/>
  <c r="AE50" i="3"/>
  <c r="AF82" i="3"/>
  <c r="AD39" i="3"/>
  <c r="AE40" i="3"/>
  <c r="AF47" i="3"/>
  <c r="AF93" i="3"/>
  <c r="AE102" i="3"/>
  <c r="C85" i="4"/>
  <c r="E29" i="9" s="1"/>
  <c r="AT32" i="3"/>
  <c r="AT39" i="3"/>
  <c r="AU51" i="3"/>
  <c r="AI31" i="3"/>
  <c r="AZ33" i="3"/>
  <c r="AZ38" i="3"/>
  <c r="AX34" i="3"/>
  <c r="AY29" i="3"/>
  <c r="AZ32" i="3"/>
  <c r="AX47" i="3"/>
  <c r="AS41" i="3"/>
  <c r="AT31" i="3"/>
  <c r="AS36" i="3"/>
  <c r="AS37" i="3"/>
  <c r="AT38" i="3"/>
  <c r="AS40" i="3"/>
  <c r="AS57" i="3"/>
  <c r="AU30" i="3"/>
  <c r="AU53" i="3"/>
  <c r="AU61" i="3"/>
  <c r="AU31" i="3"/>
  <c r="AS35" i="3"/>
  <c r="AT48" i="3"/>
  <c r="AS60" i="3"/>
  <c r="AS47" i="3"/>
  <c r="AS56" i="3"/>
  <c r="AT59" i="3"/>
  <c r="AU47" i="3"/>
  <c r="AU41" i="3"/>
  <c r="AU45" i="3"/>
  <c r="AU46" i="3"/>
  <c r="AT29" i="3"/>
  <c r="AT33" i="3"/>
  <c r="AT40" i="3"/>
  <c r="AU50" i="3"/>
  <c r="AT53" i="3"/>
  <c r="AS58" i="3"/>
  <c r="AT68" i="3"/>
  <c r="AU55" i="3"/>
  <c r="AU62" i="3"/>
  <c r="AT50" i="3"/>
  <c r="AJ32" i="3"/>
  <c r="AJ31" i="3"/>
  <c r="AJ39" i="3"/>
  <c r="AJ33" i="3"/>
  <c r="AK37" i="3"/>
  <c r="AK33" i="3"/>
  <c r="AI32" i="3"/>
  <c r="AJ29" i="3"/>
  <c r="AI33" i="3"/>
  <c r="AJ34" i="3"/>
  <c r="AK35" i="3"/>
  <c r="AI41" i="3"/>
  <c r="AK47" i="3"/>
  <c r="AJ105" i="3"/>
  <c r="AK110" i="3"/>
  <c r="AK34" i="3"/>
  <c r="AI37" i="3"/>
  <c r="AJ64" i="3"/>
  <c r="AI83" i="3"/>
  <c r="AI48" i="3"/>
  <c r="AI30" i="3"/>
  <c r="AK31" i="3"/>
  <c r="AK32" i="3"/>
  <c r="AK39" i="3"/>
  <c r="AJ44" i="3"/>
  <c r="AK48" i="3"/>
  <c r="AJ30" i="3"/>
  <c r="AJ43" i="3"/>
  <c r="AJ45" i="3"/>
  <c r="AI74" i="3"/>
  <c r="AI29" i="3"/>
  <c r="AK30" i="3"/>
  <c r="AJ36" i="3"/>
  <c r="AI38" i="3"/>
  <c r="AK45" i="3"/>
  <c r="AI35" i="3"/>
  <c r="AK36" i="3"/>
  <c r="AK38" i="3"/>
  <c r="AI40" i="3"/>
  <c r="AK29" i="3"/>
  <c r="AI34" i="3"/>
  <c r="AJ35" i="3"/>
  <c r="AI60" i="3"/>
  <c r="AK52" i="3"/>
  <c r="AK61" i="3"/>
  <c r="AK65" i="3"/>
  <c r="AJ49" i="3"/>
  <c r="AK51" i="3"/>
  <c r="AI73" i="3"/>
  <c r="AI46" i="3"/>
  <c r="AK49" i="3"/>
  <c r="AJ54" i="3"/>
  <c r="AJ69" i="3"/>
  <c r="AJ70" i="3"/>
  <c r="AJ72" i="3"/>
  <c r="AK91" i="3"/>
  <c r="AK41" i="3"/>
  <c r="AK46" i="3"/>
  <c r="AK59" i="3"/>
  <c r="AJ53" i="3"/>
  <c r="AK56" i="3"/>
  <c r="AI78" i="3"/>
  <c r="AI36" i="3"/>
  <c r="AK42" i="3"/>
  <c r="AJ47" i="3"/>
  <c r="AI54" i="3"/>
  <c r="AJ61" i="3"/>
  <c r="AI69" i="3"/>
  <c r="AK53" i="3"/>
  <c r="AJ62" i="3"/>
  <c r="AK72" i="3"/>
  <c r="AJ73" i="3"/>
  <c r="AK74" i="3"/>
  <c r="AJ82" i="3"/>
  <c r="AJ52" i="3"/>
  <c r="AJ56" i="3"/>
  <c r="AI64" i="3"/>
  <c r="AI65" i="3"/>
  <c r="AJ66" i="3"/>
  <c r="AK95" i="3"/>
  <c r="AI96" i="3"/>
  <c r="AJ101" i="3"/>
  <c r="AJ57" i="3"/>
  <c r="AK86" i="3"/>
  <c r="AI87" i="3"/>
  <c r="AI106" i="3"/>
  <c r="AJ37" i="3"/>
  <c r="AK43" i="3"/>
  <c r="AI44" i="3"/>
  <c r="AJ46" i="3"/>
  <c r="AJ48" i="3"/>
  <c r="AI50" i="3"/>
  <c r="AK57" i="3"/>
  <c r="AI58" i="3"/>
  <c r="AJ60" i="3"/>
  <c r="AK62" i="3"/>
  <c r="AK66" i="3"/>
  <c r="AI67" i="3"/>
  <c r="AK70" i="3"/>
  <c r="AI75" i="3"/>
  <c r="AJ78" i="3"/>
  <c r="AI79" i="3"/>
  <c r="AK82" i="3"/>
  <c r="AJ83" i="3"/>
  <c r="AJ87" i="3"/>
  <c r="AI88" i="3"/>
  <c r="AI92" i="3"/>
  <c r="AJ96" i="3"/>
  <c r="AI97" i="3"/>
  <c r="AK101" i="3"/>
  <c r="AI102" i="3"/>
  <c r="AK105" i="3"/>
  <c r="AJ106" i="3"/>
  <c r="AJ50" i="3"/>
  <c r="AI55" i="3"/>
  <c r="AJ58" i="3"/>
  <c r="AK60" i="3"/>
  <c r="AI63" i="3"/>
  <c r="AJ67" i="3"/>
  <c r="AI68" i="3"/>
  <c r="AI71" i="3"/>
  <c r="AJ75" i="3"/>
  <c r="AK78" i="3"/>
  <c r="AJ79" i="3"/>
  <c r="AI80" i="3"/>
  <c r="AK83" i="3"/>
  <c r="AI84" i="3"/>
  <c r="AK87" i="3"/>
  <c r="AJ88" i="3"/>
  <c r="AJ92" i="3"/>
  <c r="AK96" i="3"/>
  <c r="AJ97" i="3"/>
  <c r="AI98" i="3"/>
  <c r="AJ102" i="3"/>
  <c r="AK106" i="3"/>
  <c r="AI107" i="3"/>
  <c r="AJ40" i="3"/>
  <c r="AI42" i="3"/>
  <c r="AK44" i="3"/>
  <c r="AK50" i="3"/>
  <c r="AI51" i="3"/>
  <c r="AJ55" i="3"/>
  <c r="AK58" i="3"/>
  <c r="AI59" i="3"/>
  <c r="AJ63" i="3"/>
  <c r="AK67" i="3"/>
  <c r="AJ68" i="3"/>
  <c r="AJ71" i="3"/>
  <c r="AK75" i="3"/>
  <c r="AK79" i="3"/>
  <c r="AJ80" i="3"/>
  <c r="AJ84" i="3"/>
  <c r="AI85" i="3"/>
  <c r="AK88" i="3"/>
  <c r="AI89" i="3"/>
  <c r="AK92" i="3"/>
  <c r="AI93" i="3"/>
  <c r="AK97" i="3"/>
  <c r="AJ98" i="3"/>
  <c r="AK102" i="3"/>
  <c r="AI103" i="3"/>
  <c r="AJ107" i="3"/>
  <c r="AI39" i="3"/>
  <c r="AK40" i="3"/>
  <c r="AJ42" i="3"/>
  <c r="AI45" i="3"/>
  <c r="AI47" i="3"/>
  <c r="AI49" i="3"/>
  <c r="AJ51" i="3"/>
  <c r="AI52" i="3"/>
  <c r="AI53" i="3"/>
  <c r="AK55" i="3"/>
  <c r="AI56" i="3"/>
  <c r="AJ59" i="3"/>
  <c r="AI61" i="3"/>
  <c r="AK63" i="3"/>
  <c r="AK68" i="3"/>
  <c r="AK71" i="3"/>
  <c r="AI72" i="3"/>
  <c r="AI76" i="3"/>
  <c r="AK80" i="3"/>
  <c r="AI81" i="3"/>
  <c r="AK84" i="3"/>
  <c r="AJ85" i="3"/>
  <c r="AJ89" i="3"/>
  <c r="AJ93" i="3"/>
  <c r="AI94" i="3"/>
  <c r="AK98" i="3"/>
  <c r="AI99" i="3"/>
  <c r="AJ103" i="3"/>
  <c r="AI104" i="3"/>
  <c r="AK107" i="3"/>
  <c r="AI108" i="3"/>
  <c r="AJ76" i="3"/>
  <c r="AI77" i="3"/>
  <c r="AJ81" i="3"/>
  <c r="AK85" i="3"/>
  <c r="AK89" i="3"/>
  <c r="AI90" i="3"/>
  <c r="AK93" i="3"/>
  <c r="AJ94" i="3"/>
  <c r="AJ99" i="3"/>
  <c r="AI100" i="3"/>
  <c r="AK103" i="3"/>
  <c r="AJ104" i="3"/>
  <c r="AJ108" i="3"/>
  <c r="AI109" i="3"/>
  <c r="AK76" i="3"/>
  <c r="AJ77" i="3"/>
  <c r="AK81" i="3"/>
  <c r="AI86" i="3"/>
  <c r="AJ90" i="3"/>
  <c r="AI91" i="3"/>
  <c r="AK94" i="3"/>
  <c r="AI95" i="3"/>
  <c r="AK99" i="3"/>
  <c r="AJ100" i="3"/>
  <c r="AK104" i="3"/>
  <c r="AK108" i="3"/>
  <c r="AJ109" i="3"/>
  <c r="AI110" i="3"/>
  <c r="AJ38" i="3"/>
  <c r="AJ41" i="3"/>
  <c r="AI43" i="3"/>
  <c r="AK54" i="3"/>
  <c r="AI57" i="3"/>
  <c r="AI62" i="3"/>
  <c r="AK64" i="3"/>
  <c r="AJ65" i="3"/>
  <c r="AI66" i="3"/>
  <c r="AK69" i="3"/>
  <c r="AI70" i="3"/>
  <c r="AK73" i="3"/>
  <c r="AJ74" i="3"/>
  <c r="AK77" i="3"/>
  <c r="AI82" i="3"/>
  <c r="AJ86" i="3"/>
  <c r="AK90" i="3"/>
  <c r="AJ91" i="3"/>
  <c r="AJ95" i="3"/>
  <c r="AK100" i="3"/>
  <c r="AI101" i="3"/>
  <c r="AI105" i="3"/>
  <c r="AK109" i="3"/>
  <c r="AZ39" i="3"/>
  <c r="AX40" i="3"/>
  <c r="AX29" i="3"/>
  <c r="AY30" i="3"/>
  <c r="AX49" i="3"/>
  <c r="AY35" i="3"/>
  <c r="AX52" i="3"/>
  <c r="AX41" i="3"/>
  <c r="AX38" i="3"/>
  <c r="AY39" i="3"/>
  <c r="AZ34" i="3"/>
  <c r="AZ35" i="3"/>
  <c r="AY37" i="3"/>
  <c r="AY40" i="3"/>
  <c r="AX43" i="3"/>
  <c r="AY53" i="3"/>
  <c r="AY54" i="3"/>
  <c r="AZ43" i="3"/>
  <c r="AX30" i="3"/>
  <c r="AY44" i="3"/>
  <c r="AX51" i="3"/>
  <c r="AZ41" i="3"/>
  <c r="AZ56" i="3"/>
  <c r="AY64" i="3"/>
  <c r="AZ45" i="3"/>
  <c r="AZ48" i="3"/>
  <c r="AY42" i="3"/>
  <c r="AX57" i="3"/>
  <c r="AY33" i="3"/>
  <c r="AX42" i="3"/>
  <c r="AX45" i="3"/>
  <c r="AZ46" i="3"/>
  <c r="AZ51" i="3"/>
  <c r="AZ36" i="3"/>
  <c r="AY34" i="3"/>
  <c r="AX35" i="3"/>
  <c r="AZ40" i="3"/>
  <c r="AX44" i="3"/>
  <c r="AY45" i="3"/>
  <c r="AY46" i="3"/>
  <c r="AY47" i="3"/>
  <c r="AY49" i="3"/>
  <c r="AY50" i="3"/>
  <c r="AZ31" i="3"/>
  <c r="AY32" i="3"/>
  <c r="AX36" i="3"/>
  <c r="AX37" i="3"/>
  <c r="AY38" i="3"/>
  <c r="AX39" i="3"/>
  <c r="AY43" i="3"/>
  <c r="AX48" i="3"/>
  <c r="AZ49" i="3"/>
  <c r="AZ50" i="3"/>
  <c r="AX53" i="3"/>
  <c r="AY57" i="3"/>
  <c r="AZ61" i="3"/>
  <c r="AZ64" i="3"/>
  <c r="AX56" i="3"/>
  <c r="AZ57" i="3"/>
  <c r="AX60" i="3"/>
  <c r="AX63" i="3"/>
  <c r="AX59" i="3"/>
  <c r="AY60" i="3"/>
  <c r="AY63" i="3"/>
  <c r="AZ54" i="3"/>
  <c r="AZ59" i="3"/>
  <c r="AX65" i="3"/>
  <c r="AX55" i="3"/>
  <c r="AY55" i="3"/>
  <c r="AX58" i="3"/>
  <c r="AX62" i="3"/>
  <c r="AZ52" i="3"/>
  <c r="AY58" i="3"/>
  <c r="AX66" i="3"/>
  <c r="AZ70" i="3"/>
  <c r="AZ65" i="3"/>
  <c r="AZ62" i="3"/>
  <c r="AY61" i="3"/>
  <c r="AY73" i="3"/>
  <c r="AY66" i="3"/>
  <c r="AZ63" i="3"/>
  <c r="AZ77" i="3"/>
  <c r="AY65" i="3"/>
  <c r="AY70" i="3"/>
  <c r="AU63" i="3"/>
  <c r="AS64" i="3"/>
  <c r="AT65" i="3"/>
  <c r="AT66" i="3"/>
  <c r="AT67" i="3"/>
  <c r="AT70" i="3"/>
  <c r="AS71" i="3"/>
  <c r="AT72" i="3"/>
  <c r="AS76" i="3"/>
  <c r="AU80" i="3"/>
  <c r="AS83" i="3"/>
  <c r="AS86" i="3"/>
  <c r="AU87" i="3"/>
  <c r="AS89" i="3"/>
  <c r="AU90" i="3"/>
  <c r="AT93" i="3"/>
  <c r="AS96" i="3"/>
  <c r="AS99" i="3"/>
  <c r="AS102" i="3"/>
  <c r="AS105" i="3"/>
  <c r="AS108" i="3"/>
  <c r="AS29" i="3"/>
  <c r="AS32" i="3"/>
  <c r="AU34" i="3"/>
  <c r="AV34" i="3" s="1"/>
  <c r="AU36" i="3"/>
  <c r="AT37" i="3"/>
  <c r="AS38" i="3"/>
  <c r="AU40" i="3"/>
  <c r="AT41" i="3"/>
  <c r="AS42" i="3"/>
  <c r="AS52" i="3"/>
  <c r="AT64" i="3"/>
  <c r="AU65" i="3"/>
  <c r="AU66" i="3"/>
  <c r="AU67" i="3"/>
  <c r="AS69" i="3"/>
  <c r="AU70" i="3"/>
  <c r="AT71" i="3"/>
  <c r="AU72" i="3"/>
  <c r="AT76" i="3"/>
  <c r="AS79" i="3"/>
  <c r="AT83" i="3"/>
  <c r="AT86" i="3"/>
  <c r="AT89" i="3"/>
  <c r="AS92" i="3"/>
  <c r="AU93" i="3"/>
  <c r="AT96" i="3"/>
  <c r="AT99" i="3"/>
  <c r="AT102" i="3"/>
  <c r="AT105" i="3"/>
  <c r="AT108" i="3"/>
  <c r="AS43" i="3"/>
  <c r="AS44" i="3"/>
  <c r="AT52" i="3"/>
  <c r="AS54" i="3"/>
  <c r="AU64" i="3"/>
  <c r="AT69" i="3"/>
  <c r="AU71" i="3"/>
  <c r="AS75" i="3"/>
  <c r="AU76" i="3"/>
  <c r="AT79" i="3"/>
  <c r="AU83" i="3"/>
  <c r="AS85" i="3"/>
  <c r="AU86" i="3"/>
  <c r="AU89" i="3"/>
  <c r="AT92" i="3"/>
  <c r="AS95" i="3"/>
  <c r="AU96" i="3"/>
  <c r="AS98" i="3"/>
  <c r="AU99" i="3"/>
  <c r="AS101" i="3"/>
  <c r="AU102" i="3"/>
  <c r="AS104" i="3"/>
  <c r="AU105" i="3"/>
  <c r="AS107" i="3"/>
  <c r="AU108" i="3"/>
  <c r="AS110" i="3"/>
  <c r="AU29" i="3"/>
  <c r="AS30" i="3"/>
  <c r="AU32" i="3"/>
  <c r="AT35" i="3"/>
  <c r="AU38" i="3"/>
  <c r="AU42" i="3"/>
  <c r="AT43" i="3"/>
  <c r="AT44" i="3"/>
  <c r="AS45" i="3"/>
  <c r="AS51" i="3"/>
  <c r="AU52" i="3"/>
  <c r="AT54" i="3"/>
  <c r="AU69" i="3"/>
  <c r="AT75" i="3"/>
  <c r="AU79" i="3"/>
  <c r="AS82" i="3"/>
  <c r="AT85" i="3"/>
  <c r="AS88" i="3"/>
  <c r="AS91" i="3"/>
  <c r="AU92" i="3"/>
  <c r="AT95" i="3"/>
  <c r="AT98" i="3"/>
  <c r="AT101" i="3"/>
  <c r="AT104" i="3"/>
  <c r="AT107" i="3"/>
  <c r="AT110" i="3"/>
  <c r="AT30" i="3"/>
  <c r="AS33" i="3"/>
  <c r="AU35" i="3"/>
  <c r="AS39" i="3"/>
  <c r="AU43" i="3"/>
  <c r="AU44" i="3"/>
  <c r="AT45" i="3"/>
  <c r="AS48" i="3"/>
  <c r="AS49" i="3"/>
  <c r="AT51" i="3"/>
  <c r="AU54" i="3"/>
  <c r="AS59" i="3"/>
  <c r="AS68" i="3"/>
  <c r="AS74" i="3"/>
  <c r="AU75" i="3"/>
  <c r="AS78" i="3"/>
  <c r="AS81" i="3"/>
  <c r="AT82" i="3"/>
  <c r="AU85" i="3"/>
  <c r="AT88" i="3"/>
  <c r="AT91" i="3"/>
  <c r="AS94" i="3"/>
  <c r="AU95" i="3"/>
  <c r="AU98" i="3"/>
  <c r="AU101" i="3"/>
  <c r="AU104" i="3"/>
  <c r="AU107" i="3"/>
  <c r="AU110" i="3"/>
  <c r="AS73" i="3"/>
  <c r="AT74" i="3"/>
  <c r="AS77" i="3"/>
  <c r="AT78" i="3"/>
  <c r="AT81" i="3"/>
  <c r="AU82" i="3"/>
  <c r="AS84" i="3"/>
  <c r="AU88" i="3"/>
  <c r="AU91" i="3"/>
  <c r="AT94" i="3"/>
  <c r="AS97" i="3"/>
  <c r="AS100" i="3"/>
  <c r="AS103" i="3"/>
  <c r="AS106" i="3"/>
  <c r="AS109" i="3"/>
  <c r="AS31" i="3"/>
  <c r="AU33" i="3"/>
  <c r="AU39" i="3"/>
  <c r="AT46" i="3"/>
  <c r="AT47" i="3"/>
  <c r="AU48" i="3"/>
  <c r="AU49" i="3"/>
  <c r="AS50" i="3"/>
  <c r="AS53" i="3"/>
  <c r="AS55" i="3"/>
  <c r="AT56" i="3"/>
  <c r="AT57" i="3"/>
  <c r="AT58" i="3"/>
  <c r="AU59" i="3"/>
  <c r="AT60" i="3"/>
  <c r="AS61" i="3"/>
  <c r="AS62" i="3"/>
  <c r="AS63" i="3"/>
  <c r="AU68" i="3"/>
  <c r="AT73" i="3"/>
  <c r="AU74" i="3"/>
  <c r="AT77" i="3"/>
  <c r="AU78" i="3"/>
  <c r="AS80" i="3"/>
  <c r="AU81" i="3"/>
  <c r="AT84" i="3"/>
  <c r="AS87" i="3"/>
  <c r="AS90" i="3"/>
  <c r="AU94" i="3"/>
  <c r="AT97" i="3"/>
  <c r="AT100" i="3"/>
  <c r="AT103" i="3"/>
  <c r="AT106" i="3"/>
  <c r="AT109" i="3"/>
  <c r="AT55" i="3"/>
  <c r="AU56" i="3"/>
  <c r="AU57" i="3"/>
  <c r="AU58" i="3"/>
  <c r="AU60" i="3"/>
  <c r="AT61" i="3"/>
  <c r="AT62" i="3"/>
  <c r="AT63" i="3"/>
  <c r="AS65" i="3"/>
  <c r="AS66" i="3"/>
  <c r="AS67" i="3"/>
  <c r="AS70" i="3"/>
  <c r="AS72" i="3"/>
  <c r="AU73" i="3"/>
  <c r="AU77" i="3"/>
  <c r="AT80" i="3"/>
  <c r="AU84" i="3"/>
  <c r="AT87" i="3"/>
  <c r="AT90" i="3"/>
  <c r="AS93" i="3"/>
  <c r="AU97" i="3"/>
  <c r="AU100" i="3"/>
  <c r="AU103" i="3"/>
  <c r="AU106" i="3"/>
  <c r="AX71" i="3"/>
  <c r="AZ71" i="3"/>
  <c r="AX61" i="3"/>
  <c r="AX68" i="3"/>
  <c r="AY67" i="3"/>
  <c r="AZ67" i="3"/>
  <c r="AX78" i="3"/>
  <c r="AY68" i="3"/>
  <c r="AZ29" i="3"/>
  <c r="AY31" i="3"/>
  <c r="AY36" i="3"/>
  <c r="AY41" i="3"/>
  <c r="AZ44" i="3"/>
  <c r="AZ47" i="3"/>
  <c r="AY48" i="3"/>
  <c r="AX54" i="3"/>
  <c r="AZ55" i="3"/>
  <c r="AY56" i="3"/>
  <c r="AZ60" i="3"/>
  <c r="AX64" i="3"/>
  <c r="AZ69" i="3"/>
  <c r="AX70" i="3"/>
  <c r="AZ72" i="3"/>
  <c r="AX73" i="3"/>
  <c r="AZ76" i="3"/>
  <c r="AY77" i="3"/>
  <c r="AX82" i="3"/>
  <c r="AZ85" i="3"/>
  <c r="AX86" i="3"/>
  <c r="AZ90" i="3"/>
  <c r="AY91" i="3"/>
  <c r="AZ95" i="3"/>
  <c r="AX96" i="3"/>
  <c r="AZ101" i="3"/>
  <c r="AX102" i="3"/>
  <c r="AZ107" i="3"/>
  <c r="AX108" i="3"/>
  <c r="AY82" i="3"/>
  <c r="AY86" i="3"/>
  <c r="AZ91" i="3"/>
  <c r="AX92" i="3"/>
  <c r="AY96" i="3"/>
  <c r="AX97" i="3"/>
  <c r="AY102" i="3"/>
  <c r="AX103" i="3"/>
  <c r="AY108" i="3"/>
  <c r="AX109" i="3"/>
  <c r="AZ73" i="3"/>
  <c r="AX74" i="3"/>
  <c r="AY78" i="3"/>
  <c r="AX79" i="3"/>
  <c r="AZ82" i="3"/>
  <c r="AX83" i="3"/>
  <c r="AZ86" i="3"/>
  <c r="AX87" i="3"/>
  <c r="AY92" i="3"/>
  <c r="AZ96" i="3"/>
  <c r="AY97" i="3"/>
  <c r="AX98" i="3"/>
  <c r="AZ102" i="3"/>
  <c r="AY103" i="3"/>
  <c r="AX104" i="3"/>
  <c r="AZ108" i="3"/>
  <c r="AY109" i="3"/>
  <c r="AX110" i="3"/>
  <c r="AY74" i="3"/>
  <c r="AZ78" i="3"/>
  <c r="AY79" i="3"/>
  <c r="AX80" i="3"/>
  <c r="AY83" i="3"/>
  <c r="AY87" i="3"/>
  <c r="AX88" i="3"/>
  <c r="AZ92" i="3"/>
  <c r="AX93" i="3"/>
  <c r="AZ97" i="3"/>
  <c r="AY98" i="3"/>
  <c r="AZ103" i="3"/>
  <c r="AY104" i="3"/>
  <c r="AZ109" i="3"/>
  <c r="AY110" i="3"/>
  <c r="AZ30" i="3"/>
  <c r="AX32" i="3"/>
  <c r="AZ37" i="3"/>
  <c r="AZ42" i="3"/>
  <c r="AX46" i="3"/>
  <c r="AX50" i="3"/>
  <c r="AY51" i="3"/>
  <c r="AY52" i="3"/>
  <c r="AZ53" i="3"/>
  <c r="AZ58" i="3"/>
  <c r="AY59" i="3"/>
  <c r="AY62" i="3"/>
  <c r="AZ66" i="3"/>
  <c r="AX67" i="3"/>
  <c r="AY71" i="3"/>
  <c r="AZ74" i="3"/>
  <c r="AX75" i="3"/>
  <c r="AZ79" i="3"/>
  <c r="AY80" i="3"/>
  <c r="AZ83" i="3"/>
  <c r="AX84" i="3"/>
  <c r="AZ87" i="3"/>
  <c r="AY88" i="3"/>
  <c r="AX89" i="3"/>
  <c r="AY93" i="3"/>
  <c r="AX94" i="3"/>
  <c r="AZ98" i="3"/>
  <c r="AX99" i="3"/>
  <c r="AZ104" i="3"/>
  <c r="AX105" i="3"/>
  <c r="AZ110" i="3"/>
  <c r="AY75" i="3"/>
  <c r="AZ80" i="3"/>
  <c r="AX81" i="3"/>
  <c r="AY84" i="3"/>
  <c r="AZ88" i="3"/>
  <c r="AY89" i="3"/>
  <c r="AZ93" i="3"/>
  <c r="AY94" i="3"/>
  <c r="AY99" i="3"/>
  <c r="AX100" i="3"/>
  <c r="AY105" i="3"/>
  <c r="AX106" i="3"/>
  <c r="AX69" i="3"/>
  <c r="AX72" i="3"/>
  <c r="AZ75" i="3"/>
  <c r="AX76" i="3"/>
  <c r="AY81" i="3"/>
  <c r="AZ84" i="3"/>
  <c r="AX85" i="3"/>
  <c r="AZ89" i="3"/>
  <c r="AX90" i="3"/>
  <c r="AZ94" i="3"/>
  <c r="AX95" i="3"/>
  <c r="AZ99" i="3"/>
  <c r="AY100" i="3"/>
  <c r="AX101" i="3"/>
  <c r="AZ105" i="3"/>
  <c r="AY106" i="3"/>
  <c r="AX107" i="3"/>
  <c r="AZ68" i="3"/>
  <c r="AY69" i="3"/>
  <c r="AY72" i="3"/>
  <c r="AY76" i="3"/>
  <c r="AX77" i="3"/>
  <c r="AZ81" i="3"/>
  <c r="AY85" i="3"/>
  <c r="AY90" i="3"/>
  <c r="AX91" i="3"/>
  <c r="AY95" i="3"/>
  <c r="AZ100" i="3"/>
  <c r="AY101" i="3"/>
  <c r="AZ106" i="3"/>
  <c r="AD38" i="3"/>
  <c r="AE39" i="3"/>
  <c r="AF40" i="3"/>
  <c r="AE43" i="3"/>
  <c r="AE46" i="3"/>
  <c r="AD49" i="3"/>
  <c r="AF50" i="3"/>
  <c r="AD53" i="3"/>
  <c r="AE57" i="3"/>
  <c r="AE60" i="3"/>
  <c r="AE64" i="3"/>
  <c r="AE67" i="3"/>
  <c r="AE70" i="3"/>
  <c r="AF71" i="3"/>
  <c r="AD75" i="3"/>
  <c r="AE78" i="3"/>
  <c r="AE81" i="3"/>
  <c r="AD86" i="3"/>
  <c r="AD89" i="3"/>
  <c r="AE92" i="3"/>
  <c r="AE95" i="3"/>
  <c r="AD98" i="3"/>
  <c r="AD101" i="3"/>
  <c r="AF102" i="3"/>
  <c r="AD104" i="3"/>
  <c r="AE105" i="3"/>
  <c r="AF108" i="3"/>
  <c r="AE49" i="3"/>
  <c r="AD51" i="3"/>
  <c r="AE53" i="3"/>
  <c r="AF57" i="3"/>
  <c r="AD59" i="3"/>
  <c r="AF60" i="3"/>
  <c r="AD63" i="3"/>
  <c r="AF64" i="3"/>
  <c r="AD66" i="3"/>
  <c r="AF67" i="3"/>
  <c r="AD69" i="3"/>
  <c r="AF70" i="3"/>
  <c r="AD74" i="3"/>
  <c r="AE75" i="3"/>
  <c r="AF78" i="3"/>
  <c r="AF81" i="3"/>
  <c r="AD85" i="3"/>
  <c r="AE86" i="3"/>
  <c r="AE89" i="3"/>
  <c r="AF92" i="3"/>
  <c r="AF95" i="3"/>
  <c r="AE98" i="3"/>
  <c r="AE101" i="3"/>
  <c r="AE104" i="3"/>
  <c r="AF105" i="3"/>
  <c r="AD107" i="3"/>
  <c r="AD110" i="3"/>
  <c r="AE37" i="3"/>
  <c r="AF38" i="3"/>
  <c r="AD42" i="3"/>
  <c r="AE45" i="3"/>
  <c r="AD48" i="3"/>
  <c r="AF49" i="3"/>
  <c r="AE51" i="3"/>
  <c r="AF53" i="3"/>
  <c r="AD54" i="3"/>
  <c r="AD56" i="3"/>
  <c r="AE59" i="3"/>
  <c r="AE63" i="3"/>
  <c r="AE66" i="3"/>
  <c r="AE69" i="3"/>
  <c r="AE74" i="3"/>
  <c r="AF75" i="3"/>
  <c r="AD77" i="3"/>
  <c r="AD80" i="3"/>
  <c r="AE85" i="3"/>
  <c r="AF86" i="3"/>
  <c r="AF89" i="3"/>
  <c r="AD91" i="3"/>
  <c r="AD94" i="3"/>
  <c r="AF98" i="3"/>
  <c r="AD100" i="3"/>
  <c r="AF101" i="3"/>
  <c r="AF104" i="3"/>
  <c r="AE107" i="3"/>
  <c r="AE110" i="3"/>
  <c r="AE48" i="3"/>
  <c r="AF51" i="3"/>
  <c r="AE54" i="3"/>
  <c r="AE56" i="3"/>
  <c r="AF59" i="3"/>
  <c r="AD62" i="3"/>
  <c r="AF63" i="3"/>
  <c r="AF66" i="3"/>
  <c r="AF69" i="3"/>
  <c r="AD73" i="3"/>
  <c r="AF74" i="3"/>
  <c r="AE77" i="3"/>
  <c r="AE80" i="3"/>
  <c r="AD84" i="3"/>
  <c r="AF85" i="3"/>
  <c r="AD88" i="3"/>
  <c r="AE91" i="3"/>
  <c r="AE94" i="3"/>
  <c r="AD97" i="3"/>
  <c r="AE100" i="3"/>
  <c r="AD103" i="3"/>
  <c r="AF107" i="3"/>
  <c r="AD109" i="3"/>
  <c r="AF110" i="3"/>
  <c r="AD41" i="3"/>
  <c r="AF42" i="3"/>
  <c r="AD44" i="3"/>
  <c r="AF48" i="3"/>
  <c r="AF54" i="3"/>
  <c r="AF56" i="3"/>
  <c r="AD58" i="3"/>
  <c r="AE62" i="3"/>
  <c r="AD65" i="3"/>
  <c r="AD68" i="3"/>
  <c r="AE73" i="3"/>
  <c r="AF77" i="3"/>
  <c r="AD79" i="3"/>
  <c r="AF80" i="3"/>
  <c r="AD83" i="3"/>
  <c r="AE84" i="3"/>
  <c r="AE88" i="3"/>
  <c r="AF91" i="3"/>
  <c r="AF94" i="3"/>
  <c r="AE97" i="3"/>
  <c r="AF100" i="3"/>
  <c r="AE103" i="3"/>
  <c r="AD106" i="3"/>
  <c r="AE109" i="3"/>
  <c r="AE41" i="3"/>
  <c r="AE44" i="3"/>
  <c r="AD47" i="3"/>
  <c r="AD52" i="3"/>
  <c r="AD55" i="3"/>
  <c r="AE58" i="3"/>
  <c r="AD61" i="3"/>
  <c r="AF62" i="3"/>
  <c r="AE65" i="3"/>
  <c r="AE68" i="3"/>
  <c r="AD72" i="3"/>
  <c r="AF73" i="3"/>
  <c r="AD76" i="3"/>
  <c r="AE79" i="3"/>
  <c r="AD82" i="3"/>
  <c r="AE83" i="3"/>
  <c r="AF84" i="3"/>
  <c r="AD87" i="3"/>
  <c r="AF88" i="3"/>
  <c r="AD90" i="3"/>
  <c r="AD93" i="3"/>
  <c r="AD96" i="3"/>
  <c r="AF97" i="3"/>
  <c r="AD99" i="3"/>
  <c r="AF103" i="3"/>
  <c r="AE106" i="3"/>
  <c r="AF109" i="3"/>
  <c r="AF44" i="3"/>
  <c r="AE47" i="3"/>
  <c r="AD50" i="3"/>
  <c r="AE52" i="3"/>
  <c r="AE55" i="3"/>
  <c r="AF58" i="3"/>
  <c r="AE61" i="3"/>
  <c r="AF65" i="3"/>
  <c r="AF68" i="3"/>
  <c r="AD71" i="3"/>
  <c r="AE72" i="3"/>
  <c r="AE76" i="3"/>
  <c r="AF79" i="3"/>
  <c r="AE82" i="3"/>
  <c r="AF83" i="3"/>
  <c r="AE87" i="3"/>
  <c r="AE90" i="3"/>
  <c r="AE93" i="3"/>
  <c r="AE96" i="3"/>
  <c r="AE99" i="3"/>
  <c r="AD102" i="3"/>
  <c r="AF106" i="3"/>
  <c r="C62" i="3" l="1"/>
  <c r="C104" i="3"/>
  <c r="C76" i="3"/>
  <c r="C90" i="3"/>
  <c r="G31" i="1"/>
  <c r="C48" i="3"/>
  <c r="C93" i="4"/>
  <c r="F29" i="9"/>
  <c r="C96" i="4"/>
  <c r="C95" i="4"/>
  <c r="C99" i="4"/>
  <c r="C98" i="4"/>
  <c r="AC146" i="4"/>
  <c r="AC78" i="4"/>
  <c r="AC54" i="4"/>
  <c r="AC88" i="4"/>
  <c r="AC52" i="4"/>
  <c r="AC94" i="4"/>
  <c r="AC99" i="4"/>
  <c r="AC62" i="4"/>
  <c r="AC96" i="4"/>
  <c r="AC82" i="4"/>
  <c r="AC60" i="4"/>
  <c r="AC67" i="4"/>
  <c r="AC169" i="4"/>
  <c r="AC119" i="4"/>
  <c r="AC59" i="4"/>
  <c r="AC47" i="4"/>
  <c r="AC158" i="4"/>
  <c r="AC43" i="4"/>
  <c r="AC145" i="4"/>
  <c r="AC165" i="4"/>
  <c r="AC97" i="4"/>
  <c r="AC129" i="4"/>
  <c r="AC149" i="4"/>
  <c r="AC125" i="4"/>
  <c r="AC57" i="4"/>
  <c r="AC124" i="4"/>
  <c r="AC132" i="4"/>
  <c r="AC65" i="4"/>
  <c r="AC152" i="4"/>
  <c r="AC175" i="4"/>
  <c r="AC111" i="4"/>
  <c r="AC143" i="4"/>
  <c r="AC151" i="4"/>
  <c r="AC51" i="4"/>
  <c r="AC41" i="4"/>
  <c r="AC178" i="4"/>
  <c r="AC128" i="4"/>
  <c r="AC182" i="4"/>
  <c r="AC180" i="4"/>
  <c r="AC106" i="4"/>
  <c r="AC116" i="4"/>
  <c r="AC80" i="4"/>
  <c r="AC160" i="4"/>
  <c r="AC74" i="4"/>
  <c r="AC72" i="4"/>
  <c r="AC34" i="4"/>
  <c r="AC163" i="4"/>
  <c r="AC100" i="4"/>
  <c r="AC38" i="4"/>
  <c r="AC155" i="4"/>
  <c r="AC141" i="4"/>
  <c r="AC103" i="4"/>
  <c r="AC123" i="4"/>
  <c r="AC133" i="4"/>
  <c r="AC83" i="4"/>
  <c r="AC45" i="4"/>
  <c r="AC138" i="4"/>
  <c r="AC112" i="4"/>
  <c r="AC39" i="4"/>
  <c r="AC157" i="4"/>
  <c r="AC120" i="4"/>
  <c r="AC71" i="4"/>
  <c r="AC113" i="4"/>
  <c r="AC140" i="4"/>
  <c r="AC91" i="4"/>
  <c r="AC30" i="4"/>
  <c r="AC31" i="4"/>
  <c r="AC40" i="4"/>
  <c r="AC134" i="4"/>
  <c r="AC85" i="4"/>
  <c r="AC48" i="4"/>
  <c r="AC166" i="4"/>
  <c r="AC117" i="4"/>
  <c r="AC68" i="4"/>
  <c r="AC137" i="4"/>
  <c r="AC159" i="4"/>
  <c r="AC122" i="4"/>
  <c r="AC61" i="4"/>
  <c r="AC36" i="4"/>
  <c r="AC142" i="4"/>
  <c r="AC105" i="4"/>
  <c r="AC44" i="4"/>
  <c r="AC89" i="4"/>
  <c r="AC135" i="4"/>
  <c r="AC110" i="4"/>
  <c r="AC37" i="4"/>
  <c r="AC161" i="4"/>
  <c r="AC118" i="4"/>
  <c r="AC93" i="4"/>
  <c r="AC53" i="4"/>
  <c r="AC174" i="4"/>
  <c r="AC102" i="4"/>
  <c r="AC136" i="4"/>
  <c r="AC87" i="4"/>
  <c r="AC181" i="4"/>
  <c r="AC168" i="4"/>
  <c r="AC95" i="4"/>
  <c r="AC70" i="4"/>
  <c r="AC164" i="4"/>
  <c r="AC139" i="4"/>
  <c r="AC66" i="4"/>
  <c r="AC42" i="4"/>
  <c r="AC76" i="4"/>
  <c r="AC75" i="4"/>
  <c r="AC98" i="4"/>
  <c r="AC121" i="4"/>
  <c r="AC156" i="4"/>
  <c r="AC179" i="4"/>
  <c r="AC35" i="4"/>
  <c r="AC58" i="4"/>
  <c r="AC81" i="4"/>
  <c r="AC104" i="4"/>
  <c r="AC127" i="4"/>
  <c r="AC162" i="4"/>
  <c r="AC64" i="4"/>
  <c r="AC63" i="4"/>
  <c r="AC86" i="4"/>
  <c r="AC109" i="4"/>
  <c r="AC144" i="4"/>
  <c r="AC167" i="4"/>
  <c r="AC101" i="4"/>
  <c r="AC46" i="4"/>
  <c r="AC69" i="4"/>
  <c r="AC92" i="4"/>
  <c r="AC115" i="4"/>
  <c r="AC150" i="4"/>
  <c r="AC126" i="4"/>
  <c r="AC172" i="4"/>
  <c r="AC171" i="4"/>
  <c r="AC77" i="4"/>
  <c r="AC50" i="4"/>
  <c r="AC73" i="4"/>
  <c r="AC108" i="4"/>
  <c r="AC131" i="4"/>
  <c r="AC154" i="4"/>
  <c r="AC177" i="4"/>
  <c r="AC33" i="4"/>
  <c r="AC56" i="4"/>
  <c r="AC79" i="4"/>
  <c r="AC114" i="4"/>
  <c r="AC148" i="4"/>
  <c r="AC147" i="4"/>
  <c r="AC170" i="4"/>
  <c r="AC173" i="4"/>
  <c r="AC49" i="4"/>
  <c r="AC84" i="4"/>
  <c r="AC107" i="4"/>
  <c r="AC130" i="4"/>
  <c r="AC153" i="4"/>
  <c r="AC176" i="4"/>
  <c r="AC32" i="4"/>
  <c r="AC55" i="4"/>
  <c r="AC90" i="4"/>
  <c r="AL109" i="3"/>
  <c r="AL29" i="3"/>
  <c r="AL42" i="3"/>
  <c r="AL123" i="3"/>
  <c r="AL105" i="3"/>
  <c r="AL43" i="3"/>
  <c r="BA112" i="3"/>
  <c r="BA118" i="3"/>
  <c r="AL156" i="3"/>
  <c r="BA54" i="3"/>
  <c r="AV44" i="3"/>
  <c r="AV117" i="3"/>
  <c r="BA109" i="3"/>
  <c r="AV110" i="3"/>
  <c r="BA62" i="3"/>
  <c r="AL55" i="3"/>
  <c r="BA127" i="3"/>
  <c r="AL120" i="3"/>
  <c r="BA152" i="3"/>
  <c r="AL83" i="3"/>
  <c r="AL76" i="3"/>
  <c r="AL102" i="3"/>
  <c r="BA157" i="3"/>
  <c r="AL69" i="3"/>
  <c r="AL175" i="3"/>
  <c r="AL100" i="3"/>
  <c r="AV181" i="3"/>
  <c r="AV155" i="3"/>
  <c r="AL80" i="3"/>
  <c r="AL134" i="3"/>
  <c r="AL64" i="3"/>
  <c r="AV60" i="3"/>
  <c r="BA173" i="3"/>
  <c r="AL145" i="3"/>
  <c r="AV77" i="3"/>
  <c r="AV36" i="3"/>
  <c r="AL131" i="3"/>
  <c r="AL48" i="3"/>
  <c r="AV119" i="3"/>
  <c r="BA133" i="3"/>
  <c r="AL141" i="3"/>
  <c r="BA32" i="3"/>
  <c r="AL84" i="3"/>
  <c r="AL106" i="3"/>
  <c r="AL78" i="3"/>
  <c r="AL49" i="3"/>
  <c r="AL34" i="3"/>
  <c r="BA33" i="3"/>
  <c r="BA158" i="3"/>
  <c r="AL179" i="3"/>
  <c r="BA45" i="3"/>
  <c r="AL99" i="3"/>
  <c r="AL103" i="3"/>
  <c r="AL92" i="3"/>
  <c r="AL62" i="3"/>
  <c r="AL86" i="3"/>
  <c r="AL47" i="3"/>
  <c r="BA145" i="3"/>
  <c r="BA138" i="3"/>
  <c r="AL114" i="3"/>
  <c r="AL90" i="3"/>
  <c r="BA68" i="3"/>
  <c r="AL60" i="3"/>
  <c r="BA79" i="3"/>
  <c r="BA61" i="3"/>
  <c r="BA167" i="3"/>
  <c r="AV157" i="3"/>
  <c r="BA115" i="3"/>
  <c r="AV92" i="3"/>
  <c r="AV97" i="3"/>
  <c r="AV49" i="3"/>
  <c r="AL67" i="3"/>
  <c r="AL135" i="3"/>
  <c r="AV111" i="3"/>
  <c r="AV131" i="3"/>
  <c r="AV159" i="3"/>
  <c r="AV75" i="3"/>
  <c r="AV91" i="3"/>
  <c r="AV101" i="3"/>
  <c r="AV32" i="3"/>
  <c r="AV96" i="3"/>
  <c r="AL66" i="3"/>
  <c r="AL74" i="3"/>
  <c r="AL36" i="3"/>
  <c r="AL153" i="3"/>
  <c r="AV180" i="3"/>
  <c r="AV153" i="3"/>
  <c r="BA81" i="3"/>
  <c r="AV54" i="3"/>
  <c r="AV29" i="3"/>
  <c r="BA53" i="3"/>
  <c r="AL58" i="3"/>
  <c r="AV30" i="3"/>
  <c r="BA140" i="3"/>
  <c r="BA176" i="3"/>
  <c r="AV170" i="3"/>
  <c r="AV132" i="3"/>
  <c r="BA78" i="3"/>
  <c r="AL94" i="3"/>
  <c r="AL88" i="3"/>
  <c r="AL127" i="3"/>
  <c r="AL177" i="3"/>
  <c r="BA82" i="3"/>
  <c r="AV57" i="3"/>
  <c r="AV81" i="3"/>
  <c r="AV72" i="3"/>
  <c r="AV90" i="3"/>
  <c r="AL50" i="3"/>
  <c r="AV133" i="3"/>
  <c r="AV165" i="3"/>
  <c r="AV140" i="3"/>
  <c r="BA65" i="3"/>
  <c r="AV73" i="3"/>
  <c r="AV56" i="3"/>
  <c r="AV83" i="3"/>
  <c r="BA66" i="3"/>
  <c r="BA111" i="3"/>
  <c r="AL167" i="3"/>
  <c r="AV143" i="3"/>
  <c r="AV151" i="3"/>
  <c r="AV164" i="3"/>
  <c r="AV121" i="3"/>
  <c r="AV169" i="3"/>
  <c r="AV173" i="3"/>
  <c r="BA31" i="3"/>
  <c r="BA46" i="3"/>
  <c r="AV70" i="3"/>
  <c r="AV87" i="3"/>
  <c r="AV63" i="3"/>
  <c r="BA63" i="3"/>
  <c r="AV158" i="3"/>
  <c r="AV112" i="3"/>
  <c r="BA97" i="3"/>
  <c r="BA90" i="3"/>
  <c r="BA99" i="3"/>
  <c r="BA88" i="3"/>
  <c r="AV43" i="3"/>
  <c r="BA60" i="3"/>
  <c r="BA35" i="3"/>
  <c r="BA166" i="3"/>
  <c r="BA121" i="3"/>
  <c r="BA182" i="3"/>
  <c r="AL37" i="3"/>
  <c r="AL108" i="3"/>
  <c r="AL70" i="3"/>
  <c r="AL171" i="3"/>
  <c r="AL136" i="3"/>
  <c r="AL104" i="3"/>
  <c r="AL97" i="3"/>
  <c r="AL101" i="3"/>
  <c r="AL38" i="3"/>
  <c r="AL110" i="3"/>
  <c r="AL157" i="3"/>
  <c r="AL168" i="3"/>
  <c r="AL152" i="3"/>
  <c r="AL125" i="3"/>
  <c r="AL176" i="3"/>
  <c r="AL56" i="3"/>
  <c r="AL107" i="3"/>
  <c r="AL111" i="3"/>
  <c r="AL96" i="3"/>
  <c r="AL72" i="3"/>
  <c r="AL59" i="3"/>
  <c r="AL45" i="3"/>
  <c r="AL39" i="3"/>
  <c r="AL130" i="3"/>
  <c r="AL174" i="3"/>
  <c r="AL149" i="3"/>
  <c r="AL129" i="3"/>
  <c r="AL181" i="3"/>
  <c r="AL51" i="3"/>
  <c r="AL133" i="3"/>
  <c r="AL71" i="3"/>
  <c r="AL46" i="3"/>
  <c r="AL65" i="3"/>
  <c r="AL32" i="3"/>
  <c r="AL35" i="3"/>
  <c r="AL150" i="3"/>
  <c r="AL142" i="3"/>
  <c r="AL178" i="3"/>
  <c r="AL54" i="3"/>
  <c r="AL68" i="3"/>
  <c r="AL57" i="3"/>
  <c r="AL53" i="3"/>
  <c r="AL41" i="3"/>
  <c r="AL61" i="3"/>
  <c r="AL31" i="3"/>
  <c r="AL160" i="3"/>
  <c r="AL172" i="3"/>
  <c r="AL143" i="3"/>
  <c r="AL170" i="3"/>
  <c r="AL122" i="3"/>
  <c r="AL144" i="3"/>
  <c r="AL112" i="3"/>
  <c r="AL124" i="3"/>
  <c r="AL182" i="3"/>
  <c r="AL147" i="3"/>
  <c r="AL93" i="3"/>
  <c r="AL98" i="3"/>
  <c r="AL63" i="3"/>
  <c r="AL40" i="3"/>
  <c r="AL87" i="3"/>
  <c r="AL95" i="3"/>
  <c r="AL91" i="3"/>
  <c r="AL52" i="3"/>
  <c r="AL30" i="3"/>
  <c r="AL169" i="3"/>
  <c r="AL173" i="3"/>
  <c r="AL164" i="3"/>
  <c r="AL126" i="3"/>
  <c r="AL151" i="3"/>
  <c r="AL138" i="3"/>
  <c r="AL180" i="3"/>
  <c r="AL121" i="3"/>
  <c r="AL117" i="3"/>
  <c r="AL140" i="3"/>
  <c r="AL77" i="3"/>
  <c r="AL44" i="3"/>
  <c r="AL82" i="3"/>
  <c r="AL155" i="3"/>
  <c r="AL166" i="3"/>
  <c r="AL162" i="3"/>
  <c r="AL163" i="3"/>
  <c r="AL137" i="3"/>
  <c r="AL139" i="3"/>
  <c r="AL116" i="3"/>
  <c r="AL154" i="3"/>
  <c r="AL81" i="3"/>
  <c r="AL89" i="3"/>
  <c r="AL79" i="3"/>
  <c r="AL159" i="3"/>
  <c r="AL132" i="3"/>
  <c r="AL146" i="3"/>
  <c r="AL118" i="3"/>
  <c r="AL128" i="3"/>
  <c r="AL113" i="3"/>
  <c r="AL73" i="3"/>
  <c r="AL85" i="3"/>
  <c r="AL75" i="3"/>
  <c r="AL33" i="3"/>
  <c r="AL148" i="3"/>
  <c r="AL161" i="3"/>
  <c r="AL165" i="3"/>
  <c r="AL158" i="3"/>
  <c r="AL119" i="3"/>
  <c r="AL115" i="3"/>
  <c r="AV106" i="3"/>
  <c r="AV102" i="3"/>
  <c r="AV76" i="3"/>
  <c r="AV124" i="3"/>
  <c r="AV162" i="3"/>
  <c r="AV176" i="3"/>
  <c r="AV149" i="3"/>
  <c r="AV128" i="3"/>
  <c r="AV114" i="3"/>
  <c r="AV177" i="3"/>
  <c r="AV130" i="3"/>
  <c r="AV103" i="3"/>
  <c r="AV74" i="3"/>
  <c r="AV42" i="3"/>
  <c r="AV67" i="3"/>
  <c r="AV50" i="3"/>
  <c r="AV168" i="3"/>
  <c r="AV137" i="3"/>
  <c r="AV174" i="3"/>
  <c r="AV116" i="3"/>
  <c r="AV100" i="3"/>
  <c r="AV107" i="3"/>
  <c r="AV35" i="3"/>
  <c r="AV38" i="3"/>
  <c r="AV99" i="3"/>
  <c r="AV71" i="3"/>
  <c r="AV93" i="3"/>
  <c r="AV66" i="3"/>
  <c r="AV80" i="3"/>
  <c r="AV161" i="3"/>
  <c r="AV115" i="3"/>
  <c r="AV113" i="3"/>
  <c r="AV166" i="3"/>
  <c r="AV175" i="3"/>
  <c r="AV163" i="3"/>
  <c r="AV48" i="3"/>
  <c r="AV79" i="3"/>
  <c r="AV64" i="3"/>
  <c r="AV61" i="3"/>
  <c r="AV147" i="3"/>
  <c r="AV148" i="3"/>
  <c r="AV118" i="3"/>
  <c r="AV136" i="3"/>
  <c r="AV68" i="3"/>
  <c r="AV138" i="3"/>
  <c r="AV94" i="3"/>
  <c r="AV88" i="3"/>
  <c r="AV98" i="3"/>
  <c r="AV46" i="3"/>
  <c r="AV53" i="3"/>
  <c r="AV127" i="3"/>
  <c r="AV120" i="3"/>
  <c r="AV144" i="3"/>
  <c r="AV171" i="3"/>
  <c r="AV156" i="3"/>
  <c r="AV135" i="3"/>
  <c r="AV129" i="3"/>
  <c r="AV95" i="3"/>
  <c r="AV134" i="3"/>
  <c r="AV179" i="3"/>
  <c r="AV178" i="3"/>
  <c r="AV78" i="3"/>
  <c r="AV41" i="3"/>
  <c r="AV146" i="3"/>
  <c r="AV152" i="3"/>
  <c r="AV154" i="3"/>
  <c r="AV37" i="3"/>
  <c r="AV125" i="3"/>
  <c r="AV167" i="3"/>
  <c r="AV141" i="3"/>
  <c r="AV109" i="3"/>
  <c r="AV85" i="3"/>
  <c r="AV105" i="3"/>
  <c r="AV51" i="3"/>
  <c r="AV150" i="3"/>
  <c r="AV104" i="3"/>
  <c r="AV65" i="3"/>
  <c r="AV31" i="3"/>
  <c r="AV122" i="3"/>
  <c r="AV172" i="3"/>
  <c r="AV126" i="3"/>
  <c r="AV69" i="3"/>
  <c r="AV45" i="3"/>
  <c r="AV84" i="3"/>
  <c r="AV39" i="3"/>
  <c r="AV82" i="3"/>
  <c r="AV89" i="3"/>
  <c r="AV62" i="3"/>
  <c r="AV58" i="3"/>
  <c r="AV59" i="3"/>
  <c r="AV33" i="3"/>
  <c r="AV52" i="3"/>
  <c r="AV108" i="3"/>
  <c r="AV86" i="3"/>
  <c r="AV40" i="3"/>
  <c r="AV55" i="3"/>
  <c r="AV47" i="3"/>
  <c r="AV123" i="3"/>
  <c r="AV142" i="3"/>
  <c r="AV145" i="3"/>
  <c r="AV139" i="3"/>
  <c r="AV182" i="3"/>
  <c r="AV160" i="3"/>
  <c r="BA73" i="3"/>
  <c r="BA98" i="3"/>
  <c r="BA87" i="3"/>
  <c r="BA155" i="3"/>
  <c r="BA95" i="3"/>
  <c r="BA105" i="3"/>
  <c r="BA50" i="3"/>
  <c r="BA93" i="3"/>
  <c r="BA104" i="3"/>
  <c r="BA59" i="3"/>
  <c r="BA44" i="3"/>
  <c r="BA43" i="3"/>
  <c r="BA29" i="3"/>
  <c r="BA153" i="3"/>
  <c r="BA172" i="3"/>
  <c r="BA144" i="3"/>
  <c r="BA130" i="3"/>
  <c r="BA113" i="3"/>
  <c r="BA177" i="3"/>
  <c r="BA106" i="3"/>
  <c r="BA48" i="3"/>
  <c r="BA129" i="3"/>
  <c r="BA180" i="3"/>
  <c r="BA77" i="3"/>
  <c r="BA100" i="3"/>
  <c r="BA75" i="3"/>
  <c r="BA74" i="3"/>
  <c r="BA108" i="3"/>
  <c r="BA71" i="3"/>
  <c r="BA39" i="3"/>
  <c r="BA40" i="3"/>
  <c r="BA156" i="3"/>
  <c r="BA163" i="3"/>
  <c r="BA162" i="3"/>
  <c r="BA179" i="3"/>
  <c r="BA132" i="3"/>
  <c r="BA181" i="3"/>
  <c r="BA37" i="3"/>
  <c r="BA165" i="3"/>
  <c r="BA164" i="3"/>
  <c r="BA174" i="3"/>
  <c r="BA85" i="3"/>
  <c r="BA94" i="3"/>
  <c r="BA67" i="3"/>
  <c r="BA70" i="3"/>
  <c r="BA58" i="3"/>
  <c r="BA56" i="3"/>
  <c r="BA36" i="3"/>
  <c r="BA161" i="3"/>
  <c r="BA171" i="3"/>
  <c r="BA151" i="3"/>
  <c r="BA119" i="3"/>
  <c r="BA123" i="3"/>
  <c r="BA116" i="3"/>
  <c r="BA80" i="3"/>
  <c r="BA103" i="3"/>
  <c r="BA96" i="3"/>
  <c r="BA47" i="3"/>
  <c r="BA160" i="3"/>
  <c r="BA150" i="3"/>
  <c r="BA126" i="3"/>
  <c r="BA128" i="3"/>
  <c r="BA147" i="3"/>
  <c r="BA120" i="3"/>
  <c r="BA107" i="3"/>
  <c r="BA89" i="3"/>
  <c r="BA64" i="3"/>
  <c r="BA55" i="3"/>
  <c r="BA51" i="3"/>
  <c r="BA38" i="3"/>
  <c r="BA131" i="3"/>
  <c r="BA148" i="3"/>
  <c r="BA124" i="3"/>
  <c r="BA146" i="3"/>
  <c r="BA143" i="3"/>
  <c r="BA139" i="3"/>
  <c r="BA76" i="3"/>
  <c r="BA41" i="3"/>
  <c r="BA125" i="3"/>
  <c r="BA52" i="3"/>
  <c r="BA30" i="3"/>
  <c r="BA168" i="3"/>
  <c r="BA175" i="3"/>
  <c r="BA154" i="3"/>
  <c r="BA141" i="3"/>
  <c r="BA142" i="3"/>
  <c r="BA91" i="3"/>
  <c r="BA101" i="3"/>
  <c r="BA72" i="3"/>
  <c r="BA84" i="3"/>
  <c r="BA110" i="3"/>
  <c r="BA83" i="3"/>
  <c r="BA92" i="3"/>
  <c r="BA86" i="3"/>
  <c r="BA135" i="3"/>
  <c r="BA122" i="3"/>
  <c r="BA134" i="3"/>
  <c r="BA117" i="3"/>
  <c r="BA102" i="3"/>
  <c r="BA42" i="3"/>
  <c r="BA34" i="3"/>
  <c r="BA69" i="3"/>
  <c r="BA57" i="3"/>
  <c r="BA49" i="3"/>
  <c r="BA169" i="3"/>
  <c r="BA159" i="3"/>
  <c r="BA137" i="3"/>
  <c r="BA149" i="3"/>
  <c r="BA170" i="3"/>
  <c r="BA136" i="3"/>
  <c r="BA114" i="3"/>
  <c r="BA178" i="3"/>
  <c r="C52" i="4"/>
  <c r="C45" i="4"/>
  <c r="C46" i="4"/>
  <c r="C47" i="4"/>
  <c r="C18" i="1"/>
  <c r="C19" i="1" s="1"/>
  <c r="H1" i="1" s="1"/>
  <c r="AG108" i="3"/>
  <c r="AG145" i="3"/>
  <c r="AG157" i="3"/>
  <c r="AG163" i="3"/>
  <c r="AG172" i="3"/>
  <c r="AG114" i="3"/>
  <c r="AG173" i="3"/>
  <c r="AG133" i="3"/>
  <c r="G29" i="1"/>
  <c r="AG136" i="3"/>
  <c r="AG146" i="3"/>
  <c r="AG132" i="3"/>
  <c r="AG166" i="3"/>
  <c r="AG164" i="3"/>
  <c r="AG113" i="3"/>
  <c r="AG161" i="3"/>
  <c r="AG175" i="3"/>
  <c r="AG159" i="3"/>
  <c r="AG131" i="3"/>
  <c r="AG117" i="3"/>
  <c r="AG126" i="3"/>
  <c r="AG177" i="3"/>
  <c r="AG174" i="3"/>
  <c r="AG128" i="3"/>
  <c r="AG129" i="3"/>
  <c r="AG153" i="3"/>
  <c r="AG116" i="3"/>
  <c r="AG125" i="3"/>
  <c r="AG156" i="3"/>
  <c r="AG170" i="3"/>
  <c r="AG169" i="3"/>
  <c r="AG142" i="3"/>
  <c r="AG123" i="3"/>
  <c r="AG139" i="3"/>
  <c r="AB33" i="3"/>
  <c r="AB30" i="3"/>
  <c r="AB37" i="3"/>
  <c r="AB40" i="3"/>
  <c r="AB36" i="3"/>
  <c r="AB45" i="3"/>
  <c r="AB48" i="3"/>
  <c r="AB55" i="3"/>
  <c r="AB58" i="3"/>
  <c r="AB65" i="3"/>
  <c r="AB75" i="3"/>
  <c r="AB92" i="3"/>
  <c r="AB109" i="3"/>
  <c r="AB121" i="3"/>
  <c r="AB143" i="3"/>
  <c r="AB175" i="3"/>
  <c r="AB89" i="3"/>
  <c r="AB103" i="3"/>
  <c r="AB145" i="3"/>
  <c r="AB82" i="3"/>
  <c r="AB115" i="3"/>
  <c r="AB152" i="3"/>
  <c r="AB86" i="3"/>
  <c r="AB169" i="3"/>
  <c r="AB32" i="3"/>
  <c r="AB38" i="3"/>
  <c r="AB42" i="3"/>
  <c r="AB49" i="3"/>
  <c r="AB59" i="3"/>
  <c r="AB137" i="3"/>
  <c r="AB46" i="3"/>
  <c r="AB53" i="3"/>
  <c r="AB56" i="3"/>
  <c r="AB63" i="3"/>
  <c r="AB66" i="3"/>
  <c r="AB73" i="3"/>
  <c r="AB83" i="3"/>
  <c r="AB100" i="3"/>
  <c r="AB110" i="3"/>
  <c r="AB131" i="3"/>
  <c r="AB138" i="3"/>
  <c r="AB146" i="3"/>
  <c r="AB154" i="3"/>
  <c r="AB162" i="3"/>
  <c r="AB170" i="3"/>
  <c r="AB178" i="3"/>
  <c r="AB139" i="3"/>
  <c r="AB147" i="3"/>
  <c r="AB163" i="3"/>
  <c r="AB171" i="3"/>
  <c r="AB47" i="3"/>
  <c r="AB101" i="3"/>
  <c r="AB104" i="3"/>
  <c r="AB118" i="3"/>
  <c r="AB125" i="3"/>
  <c r="AB140" i="3"/>
  <c r="AB156" i="3"/>
  <c r="AB172" i="3"/>
  <c r="AB41" i="3"/>
  <c r="AB51" i="3"/>
  <c r="AB78" i="3"/>
  <c r="AB85" i="3"/>
  <c r="AB127" i="3"/>
  <c r="AB142" i="3"/>
  <c r="AB158" i="3"/>
  <c r="AB182" i="3"/>
  <c r="AB167" i="3"/>
  <c r="AB52" i="3"/>
  <c r="AB62" i="3"/>
  <c r="AB69" i="3"/>
  <c r="AB99" i="3"/>
  <c r="AB129" i="3"/>
  <c r="AB144" i="3"/>
  <c r="AB176" i="3"/>
  <c r="AB76" i="3"/>
  <c r="AB96" i="3"/>
  <c r="AB106" i="3"/>
  <c r="AB130" i="3"/>
  <c r="AB177" i="3"/>
  <c r="AB34" i="3"/>
  <c r="AB39" i="3"/>
  <c r="AB43" i="3"/>
  <c r="AB60" i="3"/>
  <c r="AB70" i="3"/>
  <c r="AB77" i="3"/>
  <c r="AB80" i="3"/>
  <c r="AB87" i="3"/>
  <c r="AB90" i="3"/>
  <c r="AB97" i="3"/>
  <c r="AB107" i="3"/>
  <c r="AB117" i="3"/>
  <c r="AB124" i="3"/>
  <c r="AB155" i="3"/>
  <c r="AB179" i="3"/>
  <c r="AB50" i="3"/>
  <c r="AB57" i="3"/>
  <c r="AB67" i="3"/>
  <c r="AB180" i="3"/>
  <c r="AB31" i="3"/>
  <c r="AB113" i="3"/>
  <c r="AB150" i="3"/>
  <c r="AB93" i="3"/>
  <c r="AB116" i="3"/>
  <c r="AB161" i="3"/>
  <c r="AB84" i="3"/>
  <c r="AB94" i="3"/>
  <c r="AB111" i="3"/>
  <c r="AB132" i="3"/>
  <c r="AB148" i="3"/>
  <c r="AB164" i="3"/>
  <c r="AB68" i="3"/>
  <c r="AB88" i="3"/>
  <c r="AB95" i="3"/>
  <c r="AB174" i="3"/>
  <c r="AB114" i="3"/>
  <c r="AB135" i="3"/>
  <c r="AB159" i="3"/>
  <c r="AB122" i="3"/>
  <c r="AB160" i="3"/>
  <c r="AB153" i="3"/>
  <c r="AB35" i="3"/>
  <c r="AB44" i="3"/>
  <c r="AB54" i="3"/>
  <c r="AB61" i="3"/>
  <c r="AB64" i="3"/>
  <c r="AB71" i="3"/>
  <c r="AB74" i="3"/>
  <c r="AB81" i="3"/>
  <c r="AB91" i="3"/>
  <c r="AB108" i="3"/>
  <c r="AB112" i="3"/>
  <c r="AB119" i="3"/>
  <c r="AB126" i="3"/>
  <c r="AB133" i="3"/>
  <c r="AB141" i="3"/>
  <c r="AB149" i="3"/>
  <c r="AB157" i="3"/>
  <c r="AB165" i="3"/>
  <c r="AB173" i="3"/>
  <c r="AB181" i="3"/>
  <c r="AB98" i="3"/>
  <c r="AB105" i="3"/>
  <c r="AB120" i="3"/>
  <c r="AB134" i="3"/>
  <c r="AB166" i="3"/>
  <c r="AB102" i="3"/>
  <c r="AB128" i="3"/>
  <c r="AB151" i="3"/>
  <c r="AB72" i="3"/>
  <c r="AB79" i="3"/>
  <c r="AB136" i="3"/>
  <c r="AB168" i="3"/>
  <c r="AB123" i="3"/>
  <c r="AG160" i="3"/>
  <c r="AG138" i="3"/>
  <c r="AG121" i="3"/>
  <c r="AG141" i="3"/>
  <c r="AG120" i="3"/>
  <c r="AG165" i="3"/>
  <c r="AG137" i="3"/>
  <c r="AG111" i="3"/>
  <c r="AG167" i="3"/>
  <c r="AG155" i="3"/>
  <c r="AG140" i="3"/>
  <c r="AG134" i="3"/>
  <c r="AG118" i="3"/>
  <c r="AG144" i="3"/>
  <c r="AG181" i="3"/>
  <c r="AG150" i="3"/>
  <c r="AG130" i="3"/>
  <c r="AG180" i="3"/>
  <c r="AG179" i="3"/>
  <c r="AG162" i="3"/>
  <c r="AG151" i="3"/>
  <c r="AG119" i="3"/>
  <c r="AG149" i="3"/>
  <c r="AG158" i="3"/>
  <c r="AG135" i="3"/>
  <c r="AG182" i="3"/>
  <c r="AG171" i="3"/>
  <c r="AG154" i="3"/>
  <c r="AG147" i="3"/>
  <c r="AG152" i="3"/>
  <c r="AG127" i="3"/>
  <c r="AG178" i="3"/>
  <c r="AG122" i="3"/>
  <c r="AG115" i="3"/>
  <c r="AG176" i="3"/>
  <c r="AG168" i="3"/>
  <c r="AG143" i="3"/>
  <c r="AG148" i="3"/>
  <c r="AG124" i="3"/>
  <c r="AG112" i="3"/>
  <c r="AG30" i="3"/>
  <c r="AG35" i="3"/>
  <c r="AG32" i="3"/>
  <c r="AG34" i="3"/>
  <c r="AG33" i="3"/>
  <c r="AG31" i="3"/>
  <c r="AG36" i="3"/>
  <c r="AG46" i="3"/>
  <c r="AG43" i="3"/>
  <c r="AG51" i="3"/>
  <c r="AG37" i="3"/>
  <c r="AG67" i="3"/>
  <c r="AG64" i="3"/>
  <c r="AG85" i="3"/>
  <c r="AG53" i="3"/>
  <c r="AG86" i="3"/>
  <c r="AG90" i="3"/>
  <c r="AG87" i="3"/>
  <c r="AG47" i="3"/>
  <c r="AG48" i="3"/>
  <c r="AG29" i="3"/>
  <c r="AG60" i="3"/>
  <c r="AB29" i="3"/>
  <c r="AG42" i="3"/>
  <c r="AG82" i="3"/>
  <c r="AG61" i="3"/>
  <c r="AG63" i="3"/>
  <c r="AG39" i="3"/>
  <c r="AG103" i="3"/>
  <c r="AG84" i="3"/>
  <c r="AG94" i="3"/>
  <c r="AG95" i="3"/>
  <c r="AG99" i="3"/>
  <c r="AG69" i="3"/>
  <c r="AG93" i="3"/>
  <c r="AG76" i="3"/>
  <c r="AG55" i="3"/>
  <c r="AG110" i="3"/>
  <c r="AG89" i="3"/>
  <c r="AG105" i="3"/>
  <c r="AG80" i="3"/>
  <c r="AG45" i="3"/>
  <c r="AG40" i="3"/>
  <c r="AG97" i="3"/>
  <c r="AG96" i="3"/>
  <c r="AG109" i="3"/>
  <c r="AG72" i="3"/>
  <c r="AG52" i="3"/>
  <c r="AG100" i="3"/>
  <c r="AG104" i="3"/>
  <c r="AG78" i="3"/>
  <c r="AG59" i="3"/>
  <c r="AG106" i="3"/>
  <c r="AG74" i="3"/>
  <c r="AG101" i="3"/>
  <c r="AG79" i="3"/>
  <c r="AG44" i="3"/>
  <c r="AG38" i="3"/>
  <c r="AG58" i="3"/>
  <c r="AG49" i="3"/>
  <c r="AG107" i="3"/>
  <c r="AG68" i="3"/>
  <c r="AG91" i="3"/>
  <c r="AG65" i="3"/>
  <c r="AG88" i="3"/>
  <c r="AG77" i="3"/>
  <c r="AG56" i="3"/>
  <c r="AG98" i="3"/>
  <c r="AG75" i="3"/>
  <c r="AG70" i="3"/>
  <c r="AG57" i="3"/>
  <c r="AG54" i="3"/>
  <c r="AG71" i="3"/>
  <c r="AG62" i="3"/>
  <c r="AG81" i="3"/>
  <c r="AG41" i="3"/>
  <c r="AG66" i="3"/>
  <c r="AG92" i="3"/>
  <c r="AG102" i="3"/>
  <c r="AG50" i="3"/>
  <c r="AG83" i="3"/>
  <c r="AG73" i="3"/>
  <c r="G4" i="3" l="1" a="1"/>
  <c r="G4" i="3" s="1"/>
  <c r="G5" i="3" s="1"/>
  <c r="G6" i="3" s="1"/>
  <c r="C12" i="9"/>
  <c r="C11" i="9"/>
  <c r="C49" i="4"/>
  <c r="Z48" i="4" s="1"/>
  <c r="AA34" i="4"/>
  <c r="AA46" i="4"/>
  <c r="AA58" i="4"/>
  <c r="AA70" i="4"/>
  <c r="AA82" i="4"/>
  <c r="AA94" i="4"/>
  <c r="AA106" i="4"/>
  <c r="AA118" i="4"/>
  <c r="AA130" i="4"/>
  <c r="AA142" i="4"/>
  <c r="AA154" i="4"/>
  <c r="AA166" i="4"/>
  <c r="AA178" i="4"/>
  <c r="AA129" i="4"/>
  <c r="AA35" i="4"/>
  <c r="AA47" i="4"/>
  <c r="AA59" i="4"/>
  <c r="AA71" i="4"/>
  <c r="AA83" i="4"/>
  <c r="AA95" i="4"/>
  <c r="AA107" i="4"/>
  <c r="AA119" i="4"/>
  <c r="AA131" i="4"/>
  <c r="AA143" i="4"/>
  <c r="AA155" i="4"/>
  <c r="AA167" i="4"/>
  <c r="AA179" i="4"/>
  <c r="AA81" i="4"/>
  <c r="AA36" i="4"/>
  <c r="AA48" i="4"/>
  <c r="AA60" i="4"/>
  <c r="AA72" i="4"/>
  <c r="AA84" i="4"/>
  <c r="AA96" i="4"/>
  <c r="AA108" i="4"/>
  <c r="AA120" i="4"/>
  <c r="AA132" i="4"/>
  <c r="AA144" i="4"/>
  <c r="AA156" i="4"/>
  <c r="AA168" i="4"/>
  <c r="AA180" i="4"/>
  <c r="AA45" i="4"/>
  <c r="AA37" i="4"/>
  <c r="AA49" i="4"/>
  <c r="AA61" i="4"/>
  <c r="AA73" i="4"/>
  <c r="AA85" i="4"/>
  <c r="AA97" i="4"/>
  <c r="AA109" i="4"/>
  <c r="AA121" i="4"/>
  <c r="AA133" i="4"/>
  <c r="AA145" i="4"/>
  <c r="AA157" i="4"/>
  <c r="AA169" i="4"/>
  <c r="AA181" i="4"/>
  <c r="AA57" i="4"/>
  <c r="AA177" i="4"/>
  <c r="AA38" i="4"/>
  <c r="AA50" i="4"/>
  <c r="AA62" i="4"/>
  <c r="AA74" i="4"/>
  <c r="AA86" i="4"/>
  <c r="AA98" i="4"/>
  <c r="AA110" i="4"/>
  <c r="AA122" i="4"/>
  <c r="AA134" i="4"/>
  <c r="AA146" i="4"/>
  <c r="AA158" i="4"/>
  <c r="AA170" i="4"/>
  <c r="AA182" i="4"/>
  <c r="AA69" i="4"/>
  <c r="AA165" i="4"/>
  <c r="AA39" i="4"/>
  <c r="AA51" i="4"/>
  <c r="AA63" i="4"/>
  <c r="AA75" i="4"/>
  <c r="AA87" i="4"/>
  <c r="AA99" i="4"/>
  <c r="AA111" i="4"/>
  <c r="AA123" i="4"/>
  <c r="AA135" i="4"/>
  <c r="AA147" i="4"/>
  <c r="AA159" i="4"/>
  <c r="AA171" i="4"/>
  <c r="AA29" i="4"/>
  <c r="AA141" i="4"/>
  <c r="AA40" i="4"/>
  <c r="AA52" i="4"/>
  <c r="AA64" i="4"/>
  <c r="AA76" i="4"/>
  <c r="AA88" i="4"/>
  <c r="AA100" i="4"/>
  <c r="AA112" i="4"/>
  <c r="AA124" i="4"/>
  <c r="AA136" i="4"/>
  <c r="AA148" i="4"/>
  <c r="AA160" i="4"/>
  <c r="AA172" i="4"/>
  <c r="AA117" i="4"/>
  <c r="AA41" i="4"/>
  <c r="AA53" i="4"/>
  <c r="AA65" i="4"/>
  <c r="AA77" i="4"/>
  <c r="AA89" i="4"/>
  <c r="AA101" i="4"/>
  <c r="AA113" i="4"/>
  <c r="AA125" i="4"/>
  <c r="AA137" i="4"/>
  <c r="AA149" i="4"/>
  <c r="AA161" i="4"/>
  <c r="AA173" i="4"/>
  <c r="AA33" i="4"/>
  <c r="AA30" i="4"/>
  <c r="AA42" i="4"/>
  <c r="AA54" i="4"/>
  <c r="AA66" i="4"/>
  <c r="AA78" i="4"/>
  <c r="AA90" i="4"/>
  <c r="AA102" i="4"/>
  <c r="AA114" i="4"/>
  <c r="AA126" i="4"/>
  <c r="AA138" i="4"/>
  <c r="AA150" i="4"/>
  <c r="AA162" i="4"/>
  <c r="AA174" i="4"/>
  <c r="AA93" i="4"/>
  <c r="AA31" i="4"/>
  <c r="AA43" i="4"/>
  <c r="AA55" i="4"/>
  <c r="AA67" i="4"/>
  <c r="AA79" i="4"/>
  <c r="AA91" i="4"/>
  <c r="AA103" i="4"/>
  <c r="AA115" i="4"/>
  <c r="AA127" i="4"/>
  <c r="AA139" i="4"/>
  <c r="AA151" i="4"/>
  <c r="AA163" i="4"/>
  <c r="AA175" i="4"/>
  <c r="AA153" i="4"/>
  <c r="AA32" i="4"/>
  <c r="AA44" i="4"/>
  <c r="AA56" i="4"/>
  <c r="AA68" i="4"/>
  <c r="AA80" i="4"/>
  <c r="AA92" i="4"/>
  <c r="AA104" i="4"/>
  <c r="AA116" i="4"/>
  <c r="AA128" i="4"/>
  <c r="AA140" i="4"/>
  <c r="AA152" i="4"/>
  <c r="AA164" i="4"/>
  <c r="AA176" i="4"/>
  <c r="AA105" i="4"/>
  <c r="C51" i="4"/>
  <c r="G37" i="1"/>
  <c r="C13" i="9" s="1"/>
  <c r="G32" i="1"/>
  <c r="AA125" i="3" a="1"/>
  <c r="AA125" i="3" s="1"/>
  <c r="AA153" i="3" a="1"/>
  <c r="AA153" i="3" s="1"/>
  <c r="AA128" i="3" a="1"/>
  <c r="AA128" i="3" s="1"/>
  <c r="AA162" i="3" a="1"/>
  <c r="AA162" i="3" s="1"/>
  <c r="AA118" i="3" a="1"/>
  <c r="AA118" i="3" s="1"/>
  <c r="AA134" i="3" a="1"/>
  <c r="AA134" i="3" s="1"/>
  <c r="AA146" i="3" a="1"/>
  <c r="AA146" i="3" s="1"/>
  <c r="AA159" i="3" a="1"/>
  <c r="AA159" i="3" s="1"/>
  <c r="AA136" i="3" a="1"/>
  <c r="AA136" i="3" s="1"/>
  <c r="AA177" i="3" a="1"/>
  <c r="AA177" i="3" s="1"/>
  <c r="AA145" i="3" a="1"/>
  <c r="AA145" i="3" s="1"/>
  <c r="AA163" i="3" a="1"/>
  <c r="AA163" i="3" s="1"/>
  <c r="AA148" i="3" a="1"/>
  <c r="AA148" i="3" s="1"/>
  <c r="AA147" i="3" a="1"/>
  <c r="AA147" i="3" s="1"/>
  <c r="AA161" i="3" a="1"/>
  <c r="AA161" i="3" s="1"/>
  <c r="AA81" i="3" a="1"/>
  <c r="AA81" i="3" s="1"/>
  <c r="AA132" i="3" a="1"/>
  <c r="AA132" i="3" s="1"/>
  <c r="AA157" i="3" a="1"/>
  <c r="AA157" i="3" s="1"/>
  <c r="AA113" i="3" a="1"/>
  <c r="AA113" i="3" s="1"/>
  <c r="AA112" i="3" a="1"/>
  <c r="AA112" i="3" s="1"/>
  <c r="AA127" i="3" a="1"/>
  <c r="AA127" i="3" s="1"/>
  <c r="AA173" i="3" a="1"/>
  <c r="AA173" i="3" s="1"/>
  <c r="AA156" i="3" a="1"/>
  <c r="AA156" i="3" s="1"/>
  <c r="AA114" i="3" a="1"/>
  <c r="AA114" i="3" s="1"/>
  <c r="AA171" i="3" a="1"/>
  <c r="AA171" i="3" s="1"/>
  <c r="AA178" i="3" a="1"/>
  <c r="AA178" i="3" s="1"/>
  <c r="AA164" i="3" a="1"/>
  <c r="AA164" i="3" s="1"/>
  <c r="AA180" i="3" a="1"/>
  <c r="AA180" i="3" s="1"/>
  <c r="AA168" i="3" a="1"/>
  <c r="AA168" i="3" s="1"/>
  <c r="AA117" i="3" a="1"/>
  <c r="AA117" i="3" s="1"/>
  <c r="AA150" i="3" a="1"/>
  <c r="AA150" i="3" s="1"/>
  <c r="AA124" i="3" a="1"/>
  <c r="AA124" i="3" s="1"/>
  <c r="AA131" i="3" a="1"/>
  <c r="AA131" i="3" s="1"/>
  <c r="AA172" i="3" a="1"/>
  <c r="AA172" i="3" s="1"/>
  <c r="AA38" i="3" a="1"/>
  <c r="AA38" i="3" s="1"/>
  <c r="AA102" i="3" a="1"/>
  <c r="AA102" i="3" s="1"/>
  <c r="AA79" i="3" a="1"/>
  <c r="AA79" i="3" s="1"/>
  <c r="AA152" i="3" a="1"/>
  <c r="AA152" i="3" s="1"/>
  <c r="AA179" i="3" a="1"/>
  <c r="AA179" i="3" s="1"/>
  <c r="AA115" i="3" a="1"/>
  <c r="AA115" i="3" s="1"/>
  <c r="AA167" i="3" a="1"/>
  <c r="AA167" i="3" s="1"/>
  <c r="AA174" i="3" a="1"/>
  <c r="AA174" i="3" s="1"/>
  <c r="AA71" i="3" a="1"/>
  <c r="AA71" i="3" s="1"/>
  <c r="AA88" i="3" a="1"/>
  <c r="AA88" i="3" s="1"/>
  <c r="AA50" i="3" a="1"/>
  <c r="AA50" i="3" s="1"/>
  <c r="AA54" i="3" a="1"/>
  <c r="AA54" i="3" s="1"/>
  <c r="AA182" i="3" a="1"/>
  <c r="AA182" i="3" s="1"/>
  <c r="AA130" i="3" a="1"/>
  <c r="AA130" i="3" s="1"/>
  <c r="AA140" i="3" a="1"/>
  <c r="AA140" i="3" s="1"/>
  <c r="AA129" i="3" a="1"/>
  <c r="AA129" i="3" s="1"/>
  <c r="AA160" i="3" a="1"/>
  <c r="AA160" i="3" s="1"/>
  <c r="AA62" i="3" a="1"/>
  <c r="AA62" i="3" s="1"/>
  <c r="AA65" i="3" a="1"/>
  <c r="AA65" i="3" s="1"/>
  <c r="AA44" i="3" a="1"/>
  <c r="AA44" i="3" s="1"/>
  <c r="AA52" i="3" a="1"/>
  <c r="AA52" i="3" s="1"/>
  <c r="AA120" i="3" a="1"/>
  <c r="AA120" i="3" s="1"/>
  <c r="AA166" i="3" a="1"/>
  <c r="AA166" i="3" s="1"/>
  <c r="AA126" i="3" a="1"/>
  <c r="AA126" i="3" s="1"/>
  <c r="AA149" i="3" a="1"/>
  <c r="AA149" i="3" s="1"/>
  <c r="AA116" i="3" a="1"/>
  <c r="AA116" i="3" s="1"/>
  <c r="AA57" i="3" a="1"/>
  <c r="AA57" i="3" s="1"/>
  <c r="AA108" i="3" a="1"/>
  <c r="AA108" i="3" s="1"/>
  <c r="AA143" i="3" a="1"/>
  <c r="AA143" i="3" s="1"/>
  <c r="AA175" i="3" a="1"/>
  <c r="AA175" i="3" s="1"/>
  <c r="AA83" i="3" a="1"/>
  <c r="AA83" i="3" s="1"/>
  <c r="AA41" i="3" a="1"/>
  <c r="AA41" i="3" s="1"/>
  <c r="AA107" i="3" a="1"/>
  <c r="AA107" i="3" s="1"/>
  <c r="AA106" i="3" a="1"/>
  <c r="AA106" i="3" s="1"/>
  <c r="AA133" i="3" a="1"/>
  <c r="AA133" i="3" s="1"/>
  <c r="AA176" i="3" a="1"/>
  <c r="AA176" i="3" s="1"/>
  <c r="AA70" i="3" a="1"/>
  <c r="AA70" i="3" s="1"/>
  <c r="AA101" i="3" a="1"/>
  <c r="AA101" i="3" s="1"/>
  <c r="AA66" i="3" a="1"/>
  <c r="AA66" i="3" s="1"/>
  <c r="AA75" i="3" a="1"/>
  <c r="AA75" i="3" s="1"/>
  <c r="AA68" i="3" a="1"/>
  <c r="AA68" i="3" s="1"/>
  <c r="AA74" i="3" a="1"/>
  <c r="AA74" i="3" s="1"/>
  <c r="AA96" i="3" a="1"/>
  <c r="AA96" i="3" s="1"/>
  <c r="AA55" i="3" a="1"/>
  <c r="AA55" i="3" s="1"/>
  <c r="AA103" i="3" a="1"/>
  <c r="AA103" i="3" s="1"/>
  <c r="AA48" i="3" a="1"/>
  <c r="AA48" i="3" s="1"/>
  <c r="AA37" i="3" a="1"/>
  <c r="AA37" i="3" s="1"/>
  <c r="AA144" i="3" a="1"/>
  <c r="AA144" i="3" s="1"/>
  <c r="AA121" i="3" a="1"/>
  <c r="AA121" i="3" s="1"/>
  <c r="AA59" i="3" a="1"/>
  <c r="AA59" i="3" s="1"/>
  <c r="AA97" i="3" a="1"/>
  <c r="AA97" i="3" s="1"/>
  <c r="AA76" i="3" a="1"/>
  <c r="AA76" i="3" s="1"/>
  <c r="AA39" i="3" a="1"/>
  <c r="AA39" i="3" s="1"/>
  <c r="AA47" i="3" a="1"/>
  <c r="AA47" i="3" s="1"/>
  <c r="AA51" i="3" a="1"/>
  <c r="AA51" i="3" s="1"/>
  <c r="AA33" i="3" a="1"/>
  <c r="AA33" i="3" s="1"/>
  <c r="AA158" i="3" a="1"/>
  <c r="AA158" i="3" s="1"/>
  <c r="AA138" i="3" a="1"/>
  <c r="AA138" i="3" s="1"/>
  <c r="AA98" i="3" a="1"/>
  <c r="AA98" i="3" s="1"/>
  <c r="AA49" i="3" a="1"/>
  <c r="AA49" i="3" s="1"/>
  <c r="AA78" i="3" a="1"/>
  <c r="AA78" i="3" s="1"/>
  <c r="AA40" i="3" a="1"/>
  <c r="AA40" i="3" s="1"/>
  <c r="AA93" i="3" a="1"/>
  <c r="AA93" i="3" s="1"/>
  <c r="AA63" i="3" a="1"/>
  <c r="AA63" i="3" s="1"/>
  <c r="AA42" i="3" a="1"/>
  <c r="AA42" i="3" s="1"/>
  <c r="AA87" i="3" a="1"/>
  <c r="AA87" i="3" s="1"/>
  <c r="AA43" i="3" a="1"/>
  <c r="AA43" i="3" s="1"/>
  <c r="AA34" i="3" a="1"/>
  <c r="AA34" i="3" s="1"/>
  <c r="AA139" i="3" a="1"/>
  <c r="AA139" i="3" s="1"/>
  <c r="AA56" i="3" a="1"/>
  <c r="AA56" i="3" s="1"/>
  <c r="AA73" i="3" a="1"/>
  <c r="AA73" i="3" s="1"/>
  <c r="AA77" i="3" a="1"/>
  <c r="AA77" i="3" s="1"/>
  <c r="AA58" i="3" a="1"/>
  <c r="AA58" i="3" s="1"/>
  <c r="AA104" i="3" a="1"/>
  <c r="AA104" i="3" s="1"/>
  <c r="AA45" i="3" a="1"/>
  <c r="AA45" i="3" s="1"/>
  <c r="AA69" i="3" a="1"/>
  <c r="AA69" i="3" s="1"/>
  <c r="AA61" i="3" a="1"/>
  <c r="AA61" i="3" s="1"/>
  <c r="AA85" i="3" a="1"/>
  <c r="AA85" i="3" s="1"/>
  <c r="AA46" i="3" a="1"/>
  <c r="AA46" i="3" s="1"/>
  <c r="AA32" i="3" a="1"/>
  <c r="AA32" i="3" s="1"/>
  <c r="AA122" i="3" a="1"/>
  <c r="AA122" i="3" s="1"/>
  <c r="AA123" i="3" a="1"/>
  <c r="AA123" i="3" s="1"/>
  <c r="AA100" i="3" a="1"/>
  <c r="AA100" i="3" s="1"/>
  <c r="AA80" i="3" a="1"/>
  <c r="AA80" i="3" s="1"/>
  <c r="AA99" i="3" a="1"/>
  <c r="AA99" i="3" s="1"/>
  <c r="AA82" i="3" a="1"/>
  <c r="AA82" i="3" s="1"/>
  <c r="AA64" i="3" a="1"/>
  <c r="AA64" i="3" s="1"/>
  <c r="AA35" i="3" a="1"/>
  <c r="AA35" i="3" s="1"/>
  <c r="AA151" i="3" a="1"/>
  <c r="AA151" i="3" s="1"/>
  <c r="AA155" i="3" a="1"/>
  <c r="AA155" i="3" s="1"/>
  <c r="AA111" i="3" a="1"/>
  <c r="AA111" i="3" s="1"/>
  <c r="AA105" i="3" a="1"/>
  <c r="AA105" i="3" s="1"/>
  <c r="AA95" i="3" a="1"/>
  <c r="AA95" i="3" s="1"/>
  <c r="AA60" i="3" a="1"/>
  <c r="AA60" i="3" s="1"/>
  <c r="AA90" i="3" a="1"/>
  <c r="AA90" i="3" s="1"/>
  <c r="AA36" i="3" a="1"/>
  <c r="AA36" i="3" s="1"/>
  <c r="AA119" i="3" a="1"/>
  <c r="AA119" i="3" s="1"/>
  <c r="AA72" i="3" a="1"/>
  <c r="AA72" i="3" s="1"/>
  <c r="AA89" i="3" a="1"/>
  <c r="AA89" i="3" s="1"/>
  <c r="AA94" i="3" a="1"/>
  <c r="AA94" i="3" s="1"/>
  <c r="AA86" i="3" a="1"/>
  <c r="AA86" i="3" s="1"/>
  <c r="AA31" i="3" a="1"/>
  <c r="AA31" i="3" s="1"/>
  <c r="AA30" i="3" a="1"/>
  <c r="AA30" i="3" s="1"/>
  <c r="AA135" i="3" a="1"/>
  <c r="AA135" i="3" s="1"/>
  <c r="AA137" i="3" a="1"/>
  <c r="AA137" i="3" s="1"/>
  <c r="AA154" i="3" a="1"/>
  <c r="AA154" i="3" s="1"/>
  <c r="AA169" i="3" a="1"/>
  <c r="AA169" i="3" s="1"/>
  <c r="AA92" i="3" a="1"/>
  <c r="AA92" i="3" s="1"/>
  <c r="AA91" i="3" a="1"/>
  <c r="AA91" i="3" s="1"/>
  <c r="AA109" i="3" a="1"/>
  <c r="AA109" i="3" s="1"/>
  <c r="AA110" i="3" a="1"/>
  <c r="AA110" i="3" s="1"/>
  <c r="AA84" i="3" a="1"/>
  <c r="AA84" i="3" s="1"/>
  <c r="AA53" i="3" a="1"/>
  <c r="AA53" i="3" s="1"/>
  <c r="AA67" i="3" a="1"/>
  <c r="AA67" i="3" s="1"/>
  <c r="AA181" i="3" a="1"/>
  <c r="AA181" i="3" s="1"/>
  <c r="AA165" i="3" a="1"/>
  <c r="AA165" i="3" s="1"/>
  <c r="AA141" i="3" a="1"/>
  <c r="AA141" i="3" s="1"/>
  <c r="AA142" i="3" a="1"/>
  <c r="AA142" i="3" s="1"/>
  <c r="AA170" i="3" a="1"/>
  <c r="AA170" i="3" s="1"/>
  <c r="AA29" i="3" a="1"/>
  <c r="AA29" i="3" s="1"/>
  <c r="C67" i="4"/>
  <c r="C78" i="4"/>
  <c r="C89" i="4"/>
  <c r="AT29" i="4" l="1"/>
  <c r="C121" i="4"/>
  <c r="C118" i="4"/>
  <c r="G38" i="1"/>
  <c r="C9" i="9"/>
  <c r="Z117" i="4"/>
  <c r="Z70" i="4"/>
  <c r="Z64" i="4"/>
  <c r="Z74" i="4"/>
  <c r="Z63" i="4"/>
  <c r="Z128" i="4"/>
  <c r="Z69" i="4"/>
  <c r="Z98" i="4"/>
  <c r="Z151" i="4"/>
  <c r="Z165" i="4"/>
  <c r="Z156" i="4"/>
  <c r="Z60" i="4"/>
  <c r="Z179" i="4"/>
  <c r="Z104" i="4"/>
  <c r="Z61" i="4"/>
  <c r="Z93" i="4"/>
  <c r="Z67" i="4"/>
  <c r="Z95" i="4"/>
  <c r="Z34" i="4"/>
  <c r="Z130" i="4"/>
  <c r="Z169" i="4"/>
  <c r="Z85" i="4"/>
  <c r="Z102" i="4"/>
  <c r="Z42" i="4"/>
  <c r="Z174" i="4"/>
  <c r="Z54" i="4"/>
  <c r="Z142" i="4"/>
  <c r="Z81" i="4"/>
  <c r="Z36" i="4"/>
  <c r="Z144" i="4"/>
  <c r="Z94" i="4"/>
  <c r="Z38" i="4"/>
  <c r="Z161" i="4"/>
  <c r="Z153" i="4"/>
  <c r="Z133" i="4"/>
  <c r="Z65" i="4"/>
  <c r="Z106" i="4"/>
  <c r="Z84" i="4"/>
  <c r="Z171" i="4"/>
  <c r="Z31" i="4"/>
  <c r="Z157" i="4"/>
  <c r="Z181" i="4"/>
  <c r="Z55" i="4"/>
  <c r="Z127" i="4"/>
  <c r="Z41" i="4"/>
  <c r="Z146" i="4"/>
  <c r="Z114" i="4"/>
  <c r="Z47" i="4"/>
  <c r="Z80" i="4"/>
  <c r="Z79" i="4"/>
  <c r="Z66" i="4"/>
  <c r="Z123" i="4"/>
  <c r="Z29" i="4"/>
  <c r="Z97" i="4"/>
  <c r="Z50" i="4"/>
  <c r="Z147" i="4"/>
  <c r="Z44" i="4"/>
  <c r="Z119" i="4"/>
  <c r="Z177" i="4"/>
  <c r="Z89" i="4"/>
  <c r="Z52" i="4"/>
  <c r="Z75" i="4"/>
  <c r="Z131" i="4"/>
  <c r="Z46" i="4"/>
  <c r="Z125" i="4"/>
  <c r="Z145" i="4"/>
  <c r="Z148" i="4"/>
  <c r="Z96" i="4"/>
  <c r="Z180" i="4"/>
  <c r="Z40" i="4"/>
  <c r="Z32" i="4"/>
  <c r="Z150" i="4"/>
  <c r="Z178" i="4"/>
  <c r="Z43" i="4"/>
  <c r="Z83" i="4"/>
  <c r="Z137" i="4"/>
  <c r="Z45" i="4"/>
  <c r="Z159" i="4"/>
  <c r="Z134" i="4"/>
  <c r="Z140" i="4"/>
  <c r="Z73" i="4"/>
  <c r="Z101" i="4"/>
  <c r="Z132" i="4"/>
  <c r="Z176" i="4"/>
  <c r="Z58" i="4"/>
  <c r="Z118" i="4"/>
  <c r="Z33" i="4"/>
  <c r="Z99" i="4"/>
  <c r="Z112" i="4"/>
  <c r="Z76" i="4"/>
  <c r="Z71" i="4"/>
  <c r="Z53" i="4"/>
  <c r="Z129" i="4"/>
  <c r="Z90" i="4"/>
  <c r="Z166" i="4"/>
  <c r="Z39" i="4"/>
  <c r="Z49" i="4"/>
  <c r="Z149" i="4"/>
  <c r="Z87" i="4"/>
  <c r="Z182" i="4"/>
  <c r="Z155" i="4"/>
  <c r="Z108" i="4"/>
  <c r="Z88" i="4"/>
  <c r="Z56" i="4"/>
  <c r="Z121" i="4"/>
  <c r="Z124" i="4"/>
  <c r="Z57" i="4"/>
  <c r="Z30" i="4"/>
  <c r="Z72" i="4"/>
  <c r="Z160" i="4"/>
  <c r="Z172" i="4"/>
  <c r="Z154" i="4"/>
  <c r="Z135" i="4"/>
  <c r="Z139" i="4"/>
  <c r="Z175" i="4"/>
  <c r="Z100" i="4"/>
  <c r="Z62" i="4"/>
  <c r="Z110" i="4"/>
  <c r="Z116" i="4"/>
  <c r="Z111" i="4"/>
  <c r="Z107" i="4"/>
  <c r="Z82" i="4"/>
  <c r="Z152" i="4"/>
  <c r="Z164" i="4"/>
  <c r="Z162" i="4"/>
  <c r="Z143" i="4"/>
  <c r="Z51" i="4"/>
  <c r="Z91" i="4"/>
  <c r="Z92" i="4"/>
  <c r="Z173" i="4"/>
  <c r="Z168" i="4"/>
  <c r="Z105" i="4"/>
  <c r="Z113" i="4"/>
  <c r="Z115" i="4"/>
  <c r="Z163" i="4"/>
  <c r="Z141" i="4"/>
  <c r="Z37" i="4"/>
  <c r="Z35" i="4"/>
  <c r="Z59" i="4"/>
  <c r="Z126" i="4"/>
  <c r="Z167" i="4"/>
  <c r="Z109" i="4"/>
  <c r="Z78" i="4"/>
  <c r="Z103" i="4"/>
  <c r="Z122" i="4"/>
  <c r="Z136" i="4"/>
  <c r="Z68" i="4"/>
  <c r="Z138" i="4"/>
  <c r="Z158" i="4"/>
  <c r="Z170" i="4"/>
  <c r="Z86" i="4"/>
  <c r="Z77" i="4"/>
  <c r="Z120" i="4"/>
  <c r="C53" i="4"/>
  <c r="AB32" i="4" s="1"/>
  <c r="C115" i="4"/>
  <c r="C117" i="4" s="1"/>
  <c r="C42" i="4"/>
  <c r="C30" i="3"/>
  <c r="BC29" i="3" s="1"/>
  <c r="C119" i="4" l="1"/>
  <c r="C120" i="4"/>
  <c r="C123" i="4"/>
  <c r="C122" i="4"/>
  <c r="AB52" i="4"/>
  <c r="AB54" i="4"/>
  <c r="AB53" i="4"/>
  <c r="AB40" i="4"/>
  <c r="AB151" i="4"/>
  <c r="AB38" i="4"/>
  <c r="AB31" i="4"/>
  <c r="AB91" i="4"/>
  <c r="AB67" i="4"/>
  <c r="AB177" i="4"/>
  <c r="AB42" i="4"/>
  <c r="AB41" i="4"/>
  <c r="AB29" i="4"/>
  <c r="AB43" i="4"/>
  <c r="AB169" i="4"/>
  <c r="AB180" i="4"/>
  <c r="AB179" i="4"/>
  <c r="AB178" i="4"/>
  <c r="AB129" i="4"/>
  <c r="AB79" i="4"/>
  <c r="AB182" i="4"/>
  <c r="AB115" i="4"/>
  <c r="AB105" i="4"/>
  <c r="AB160" i="4"/>
  <c r="AB143" i="4"/>
  <c r="AB106" i="4"/>
  <c r="AB93" i="4"/>
  <c r="AB50" i="4"/>
  <c r="AB167" i="4"/>
  <c r="AB145" i="4"/>
  <c r="AB173" i="4"/>
  <c r="AB150" i="4"/>
  <c r="AB148" i="4"/>
  <c r="AB111" i="4"/>
  <c r="AB122" i="4"/>
  <c r="AB121" i="4"/>
  <c r="AB132" i="4"/>
  <c r="AB131" i="4"/>
  <c r="AB94" i="4"/>
  <c r="AB81" i="4"/>
  <c r="AB65" i="4"/>
  <c r="AB36" i="4"/>
  <c r="AB127" i="4"/>
  <c r="AB117" i="4"/>
  <c r="AB159" i="4"/>
  <c r="AB155" i="4"/>
  <c r="AB162" i="4"/>
  <c r="AB147" i="4"/>
  <c r="AB161" i="4"/>
  <c r="AB138" i="4"/>
  <c r="AB149" i="4"/>
  <c r="AB136" i="4"/>
  <c r="AB99" i="4"/>
  <c r="AB110" i="4"/>
  <c r="AB109" i="4"/>
  <c r="AB120" i="4"/>
  <c r="AB119" i="4"/>
  <c r="AB82" i="4"/>
  <c r="AB57" i="4"/>
  <c r="AB66" i="4"/>
  <c r="AB35" i="4"/>
  <c r="AB171" i="4"/>
  <c r="AB157" i="4"/>
  <c r="AB154" i="4"/>
  <c r="AB144" i="4"/>
  <c r="AB137" i="4"/>
  <c r="AB100" i="4"/>
  <c r="AB87" i="4"/>
  <c r="AB97" i="4"/>
  <c r="AB108" i="4"/>
  <c r="AB83" i="4"/>
  <c r="AB70" i="4"/>
  <c r="AB45" i="4"/>
  <c r="AB114" i="4"/>
  <c r="AB125" i="4"/>
  <c r="AB88" i="4"/>
  <c r="AB75" i="4"/>
  <c r="AB86" i="4"/>
  <c r="AB85" i="4"/>
  <c r="AB96" i="4"/>
  <c r="AB71" i="4"/>
  <c r="AB58" i="4"/>
  <c r="AB33" i="4"/>
  <c r="AB39" i="4"/>
  <c r="AB30" i="4"/>
  <c r="AB168" i="4"/>
  <c r="AB174" i="4"/>
  <c r="AB146" i="4"/>
  <c r="AB134" i="4"/>
  <c r="AB126" i="4"/>
  <c r="AB102" i="4"/>
  <c r="AB89" i="4"/>
  <c r="AB76" i="4"/>
  <c r="AB63" i="4"/>
  <c r="AB74" i="4"/>
  <c r="AB73" i="4"/>
  <c r="AB60" i="4"/>
  <c r="AB59" i="4"/>
  <c r="AB46" i="4"/>
  <c r="AB152" i="4"/>
  <c r="AB139" i="4"/>
  <c r="AB103" i="4"/>
  <c r="AB166" i="4"/>
  <c r="AB172" i="4"/>
  <c r="AB156" i="4"/>
  <c r="AB133" i="4"/>
  <c r="AB98" i="4"/>
  <c r="AB90" i="4"/>
  <c r="AB77" i="4"/>
  <c r="AB64" i="4"/>
  <c r="AB51" i="4"/>
  <c r="AB62" i="4"/>
  <c r="AB61" i="4"/>
  <c r="AB48" i="4"/>
  <c r="AB47" i="4"/>
  <c r="AB34" i="4"/>
  <c r="AB140" i="4"/>
  <c r="AB164" i="4"/>
  <c r="AB92" i="4"/>
  <c r="AB80" i="4"/>
  <c r="AB128" i="4"/>
  <c r="AB116" i="4"/>
  <c r="AB69" i="4"/>
  <c r="AB104" i="4"/>
  <c r="AB68" i="4"/>
  <c r="AB142" i="4"/>
  <c r="AB165" i="4"/>
  <c r="AB163" i="4"/>
  <c r="AB56" i="4"/>
  <c r="AB113" i="4"/>
  <c r="AB124" i="4"/>
  <c r="AB135" i="4"/>
  <c r="AB170" i="4"/>
  <c r="AB175" i="4"/>
  <c r="AB49" i="4"/>
  <c r="AB84" i="4"/>
  <c r="AB107" i="4"/>
  <c r="AB130" i="4"/>
  <c r="AB153" i="4"/>
  <c r="AB55" i="4"/>
  <c r="AB44" i="4"/>
  <c r="AB78" i="4"/>
  <c r="AB101" i="4"/>
  <c r="AB112" i="4"/>
  <c r="AB123" i="4"/>
  <c r="AB158" i="4"/>
  <c r="AB181" i="4"/>
  <c r="AB37" i="4"/>
  <c r="AB72" i="4"/>
  <c r="AB95" i="4"/>
  <c r="AB118" i="4"/>
  <c r="AB141" i="4"/>
  <c r="AB176" i="4"/>
  <c r="C116" i="4"/>
  <c r="C100" i="4" a="1"/>
  <c r="C100" i="4" s="1"/>
  <c r="C101" i="4" s="1"/>
  <c r="C102" i="4" a="1"/>
  <c r="C102" i="4" s="1"/>
  <c r="C105" i="4" l="1"/>
  <c r="A105" i="4" s="1"/>
  <c r="D3" i="4" s="1"/>
  <c r="C103" i="4"/>
  <c r="A103" i="4" s="1"/>
  <c r="D2" i="4" s="1"/>
  <c r="C108" i="4" l="1"/>
  <c r="A108" i="4" s="1"/>
  <c r="D5" i="4" s="1"/>
  <c r="C107" i="4"/>
  <c r="A107" i="4" s="1"/>
  <c r="D4" i="4" s="1"/>
  <c r="C104" i="4"/>
  <c r="C109" i="4" l="1"/>
  <c r="A109" i="4" s="1"/>
  <c r="D6" i="4" s="1"/>
  <c r="C106" i="4"/>
  <c r="C110" i="4" l="1"/>
  <c r="C113" i="4" l="1"/>
  <c r="E27" i="9" s="1"/>
  <c r="C112" i="4"/>
  <c r="D27" i="9" s="1"/>
  <c r="C111" i="4"/>
  <c r="C27" i="9" s="1"/>
  <c r="C126" i="4" a="1"/>
  <c r="C126" i="4" s="1"/>
  <c r="C124" i="4" a="1"/>
  <c r="C124" i="4" s="1"/>
  <c r="A124" i="4" s="1"/>
  <c r="D7" i="4" s="1"/>
  <c r="C125" i="4" l="1"/>
  <c r="C127" i="4" s="1"/>
  <c r="C131" i="4" s="1"/>
  <c r="A131" i="4" s="1"/>
  <c r="D8" i="4" s="1"/>
  <c r="C128" i="4" l="1"/>
  <c r="C129" i="4"/>
  <c r="C130" i="4" l="1"/>
  <c r="C132" i="4"/>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<sst xmlns="http://schemas.openxmlformats.org/spreadsheetml/2006/main" count="826" uniqueCount="448">
  <si>
    <t>V</t>
  </si>
  <si>
    <t>kΩ</t>
  </si>
  <si>
    <t>nF</t>
  </si>
  <si>
    <t>A</t>
  </si>
  <si>
    <t>kHz</t>
  </si>
  <si>
    <t>nH</t>
  </si>
  <si>
    <t>%</t>
  </si>
  <si>
    <t>Yes</t>
  </si>
  <si>
    <t>µF</t>
  </si>
  <si>
    <t>pF</t>
  </si>
  <si>
    <r>
      <t>Input Voltage (V</t>
    </r>
    <r>
      <rPr>
        <b/>
        <vertAlign val="subscript"/>
        <sz val="11"/>
        <color theme="1"/>
        <rFont val="Calibri"/>
        <family val="2"/>
        <scheme val="minor"/>
      </rPr>
      <t>IN</t>
    </r>
    <r>
      <rPr>
        <b/>
        <sz val="11"/>
        <color theme="1"/>
        <rFont val="Calibri"/>
        <family val="2"/>
        <scheme val="minor"/>
      </rPr>
      <t>)</t>
    </r>
  </si>
  <si>
    <r>
      <t>Output Voltage (V</t>
    </r>
    <r>
      <rPr>
        <b/>
        <vertAlign val="subscript"/>
        <sz val="11"/>
        <color theme="1"/>
        <rFont val="Calibri"/>
        <family val="2"/>
        <scheme val="minor"/>
      </rPr>
      <t>OUT</t>
    </r>
    <r>
      <rPr>
        <b/>
        <sz val="11"/>
        <color theme="1"/>
        <rFont val="Calibri"/>
        <family val="2"/>
        <scheme val="minor"/>
      </rPr>
      <t>)</t>
    </r>
  </si>
  <si>
    <r>
      <t>Max Load Current (I</t>
    </r>
    <r>
      <rPr>
        <b/>
        <vertAlign val="subscript"/>
        <sz val="11"/>
        <color theme="1"/>
        <rFont val="Calibri"/>
        <family val="2"/>
        <scheme val="minor"/>
      </rPr>
      <t>OUT(MAX)</t>
    </r>
    <r>
      <rPr>
        <b/>
        <sz val="11"/>
        <color theme="1"/>
        <rFont val="Calibri"/>
        <family val="2"/>
        <scheme val="minor"/>
      </rPr>
      <t>)</t>
    </r>
  </si>
  <si>
    <t>Number of Phases (n)</t>
  </si>
  <si>
    <t>mV/mV</t>
  </si>
  <si>
    <r>
      <t>A</t>
    </r>
    <r>
      <rPr>
        <b/>
        <vertAlign val="subscript"/>
        <sz val="11"/>
        <color theme="1"/>
        <rFont val="Calibri"/>
        <family val="2"/>
        <scheme val="minor"/>
      </rPr>
      <t>CSA-PWM</t>
    </r>
  </si>
  <si>
    <t>mA/V</t>
  </si>
  <si>
    <r>
      <t>Internal Voltage Reference (V</t>
    </r>
    <r>
      <rPr>
        <b/>
        <vertAlign val="subscript"/>
        <sz val="11"/>
        <color theme="1"/>
        <rFont val="Calibri"/>
        <family val="2"/>
        <scheme val="minor"/>
      </rPr>
      <t>REF</t>
    </r>
    <r>
      <rPr>
        <b/>
        <sz val="11"/>
        <color theme="1"/>
        <rFont val="Calibri"/>
        <family val="2"/>
        <scheme val="minor"/>
      </rPr>
      <t>)</t>
    </r>
  </si>
  <si>
    <r>
      <t>Error Amplifier Transconductance (g</t>
    </r>
    <r>
      <rPr>
        <b/>
        <vertAlign val="subscript"/>
        <sz val="11"/>
        <color theme="1"/>
        <rFont val="Calibri"/>
        <family val="2"/>
        <scheme val="minor"/>
      </rPr>
      <t>m(EA)</t>
    </r>
    <r>
      <rPr>
        <b/>
        <sz val="11"/>
        <color theme="1"/>
        <rFont val="Calibri"/>
        <family val="2"/>
        <scheme val="minor"/>
      </rPr>
      <t>)</t>
    </r>
  </si>
  <si>
    <r>
      <t>k</t>
    </r>
    <r>
      <rPr>
        <sz val="11"/>
        <color theme="1"/>
        <rFont val="Calibri"/>
        <family val="2"/>
      </rPr>
      <t>Ω</t>
    </r>
  </si>
  <si>
    <t>mV</t>
  </si>
  <si>
    <r>
      <t>m</t>
    </r>
    <r>
      <rPr>
        <sz val="11"/>
        <color theme="1"/>
        <rFont val="Calibri"/>
        <family val="2"/>
      </rPr>
      <t>Ω</t>
    </r>
  </si>
  <si>
    <t>Duty Cycle (d)</t>
  </si>
  <si>
    <t>µA</t>
  </si>
  <si>
    <r>
      <t>RAMP</t>
    </r>
    <r>
      <rPr>
        <b/>
        <vertAlign val="subscript"/>
        <sz val="11"/>
        <color theme="1"/>
        <rFont val="Calibri"/>
        <family val="2"/>
        <scheme val="minor"/>
      </rPr>
      <t>MAX</t>
    </r>
  </si>
  <si>
    <r>
      <t>Switching Frequency (f</t>
    </r>
    <r>
      <rPr>
        <b/>
        <vertAlign val="subscript"/>
        <sz val="11"/>
        <color theme="1"/>
        <rFont val="Calibri"/>
        <family val="2"/>
        <scheme val="minor"/>
      </rPr>
      <t>SW</t>
    </r>
    <r>
      <rPr>
        <b/>
        <sz val="11"/>
        <color theme="1"/>
        <rFont val="Calibri"/>
        <family val="2"/>
        <scheme val="minor"/>
      </rPr>
      <t>)</t>
    </r>
  </si>
  <si>
    <t>mΩ</t>
  </si>
  <si>
    <r>
      <t>Crossover Frequency (f</t>
    </r>
    <r>
      <rPr>
        <b/>
        <vertAlign val="subscript"/>
        <sz val="11"/>
        <color theme="1"/>
        <rFont val="Calibri"/>
        <family val="2"/>
        <scheme val="minor"/>
      </rPr>
      <t>T</t>
    </r>
    <r>
      <rPr>
        <b/>
        <sz val="11"/>
        <color theme="1"/>
        <rFont val="Calibri"/>
        <family val="2"/>
        <scheme val="minor"/>
      </rPr>
      <t>)</t>
    </r>
  </si>
  <si>
    <r>
      <t>DROOP Current (I</t>
    </r>
    <r>
      <rPr>
        <b/>
        <vertAlign val="subscript"/>
        <sz val="11"/>
        <color theme="1"/>
        <rFont val="Calibri"/>
        <family val="2"/>
        <scheme val="minor"/>
      </rPr>
      <t>DROOP</t>
    </r>
    <r>
      <rPr>
        <b/>
        <sz val="11"/>
        <color theme="1"/>
        <rFont val="Calibri"/>
        <family val="2"/>
        <scheme val="minor"/>
      </rPr>
      <t>)</t>
    </r>
  </si>
  <si>
    <r>
      <t>DROOP Capacitor (C</t>
    </r>
    <r>
      <rPr>
        <b/>
        <vertAlign val="subscript"/>
        <sz val="11"/>
        <color theme="1"/>
        <rFont val="Calibri"/>
        <family val="2"/>
        <scheme val="minor"/>
      </rPr>
      <t>DROOP</t>
    </r>
    <r>
      <rPr>
        <b/>
        <sz val="11"/>
        <color theme="1"/>
        <rFont val="Calibri"/>
        <family val="2"/>
        <scheme val="minor"/>
      </rPr>
      <t>)</t>
    </r>
  </si>
  <si>
    <r>
      <t>Slope Resistor (R</t>
    </r>
    <r>
      <rPr>
        <b/>
        <vertAlign val="subscript"/>
        <sz val="11"/>
        <color theme="1"/>
        <rFont val="Calibri"/>
        <family val="2"/>
        <scheme val="minor"/>
      </rPr>
      <t>SLOPE</t>
    </r>
    <r>
      <rPr>
        <b/>
        <sz val="11"/>
        <color theme="1"/>
        <rFont val="Calibri"/>
        <family val="2"/>
        <scheme val="minor"/>
      </rPr>
      <t>)</t>
    </r>
  </si>
  <si>
    <r>
      <t>Soft-Start Time (t</t>
    </r>
    <r>
      <rPr>
        <b/>
        <vertAlign val="subscript"/>
        <sz val="11"/>
        <color theme="1"/>
        <rFont val="Calibri"/>
        <family val="2"/>
        <scheme val="minor"/>
      </rPr>
      <t>SS</t>
    </r>
    <r>
      <rPr>
        <b/>
        <sz val="11"/>
        <color theme="1"/>
        <rFont val="Calibri"/>
        <family val="2"/>
        <scheme val="minor"/>
      </rPr>
      <t>)</t>
    </r>
  </si>
  <si>
    <r>
      <t>Soft-Start Current (I</t>
    </r>
    <r>
      <rPr>
        <b/>
        <vertAlign val="subscript"/>
        <sz val="11"/>
        <color theme="1"/>
        <rFont val="Calibri"/>
        <family val="2"/>
        <scheme val="minor"/>
      </rPr>
      <t>SS</t>
    </r>
    <r>
      <rPr>
        <b/>
        <sz val="11"/>
        <color theme="1"/>
        <rFont val="Calibri"/>
        <family val="2"/>
        <scheme val="minor"/>
      </rPr>
      <t>)</t>
    </r>
  </si>
  <si>
    <r>
      <t>Output Load Step (I</t>
    </r>
    <r>
      <rPr>
        <b/>
        <vertAlign val="subscript"/>
        <sz val="11"/>
        <color theme="1"/>
        <rFont val="Calibri"/>
        <family val="2"/>
        <scheme val="minor"/>
      </rPr>
      <t>STEP</t>
    </r>
    <r>
      <rPr>
        <b/>
        <sz val="11"/>
        <color theme="1"/>
        <rFont val="Calibri"/>
        <family val="2"/>
        <scheme val="minor"/>
      </rPr>
      <t>)</t>
    </r>
  </si>
  <si>
    <r>
      <t>Frequency Select Resistor (R</t>
    </r>
    <r>
      <rPr>
        <b/>
        <vertAlign val="subscript"/>
        <sz val="11"/>
        <color theme="1"/>
        <rFont val="Calibri"/>
        <family val="2"/>
        <scheme val="minor"/>
      </rPr>
      <t>FS</t>
    </r>
    <r>
      <rPr>
        <b/>
        <sz val="11"/>
        <color theme="1"/>
        <rFont val="Calibri"/>
        <family val="2"/>
        <scheme val="minor"/>
      </rPr>
      <t>)</t>
    </r>
  </si>
  <si>
    <r>
      <t>Max Target Current Sense Voltage (V</t>
    </r>
    <r>
      <rPr>
        <b/>
        <vertAlign val="subscript"/>
        <sz val="11"/>
        <color theme="1"/>
        <rFont val="Calibri"/>
        <family val="2"/>
        <scheme val="minor"/>
      </rPr>
      <t>SEN</t>
    </r>
    <r>
      <rPr>
        <b/>
        <sz val="11"/>
        <color theme="1"/>
        <rFont val="Calibri"/>
        <family val="2"/>
        <scheme val="minor"/>
      </rPr>
      <t>)</t>
    </r>
  </si>
  <si>
    <r>
      <t>Bulk Output Capacitor Value (C</t>
    </r>
    <r>
      <rPr>
        <b/>
        <vertAlign val="subscript"/>
        <sz val="11"/>
        <color theme="1"/>
        <rFont val="Calibri"/>
        <family val="2"/>
        <scheme val="minor"/>
      </rPr>
      <t>OUT(BULK)</t>
    </r>
    <r>
      <rPr>
        <b/>
        <sz val="11"/>
        <color theme="1"/>
        <rFont val="Calibri"/>
        <family val="2"/>
        <scheme val="minor"/>
      </rPr>
      <t>)</t>
    </r>
  </si>
  <si>
    <t>Bulk Output Capacitor ESR</t>
  </si>
  <si>
    <t>Bulk Output Capacitor ESL</t>
  </si>
  <si>
    <t>Total Bulk Output Capacitance ESR</t>
  </si>
  <si>
    <r>
      <t>Selected Inductor Value (L</t>
    </r>
    <r>
      <rPr>
        <b/>
        <vertAlign val="subscript"/>
        <sz val="11"/>
        <color theme="1"/>
        <rFont val="Calibri"/>
        <family val="2"/>
        <scheme val="minor"/>
      </rPr>
      <t>SEL</t>
    </r>
    <r>
      <rPr>
        <b/>
        <sz val="11"/>
        <color theme="1"/>
        <rFont val="Calibri"/>
        <family val="2"/>
        <scheme val="minor"/>
      </rPr>
      <t>)</t>
    </r>
  </si>
  <si>
    <r>
      <t>High Frequency Capacitor Value (C</t>
    </r>
    <r>
      <rPr>
        <b/>
        <vertAlign val="subscript"/>
        <sz val="11"/>
        <color theme="1"/>
        <rFont val="Calibri"/>
        <family val="2"/>
        <scheme val="minor"/>
      </rPr>
      <t>OUT(HF)</t>
    </r>
    <r>
      <rPr>
        <b/>
        <sz val="11"/>
        <color theme="1"/>
        <rFont val="Calibri"/>
        <family val="2"/>
        <scheme val="minor"/>
      </rPr>
      <t>)</t>
    </r>
  </si>
  <si>
    <t>High Frequency Capacitor ESR</t>
  </si>
  <si>
    <t>High Frequency Capacitor ESL</t>
  </si>
  <si>
    <t>These cells are inputs</t>
  </si>
  <si>
    <t>These cells are the output</t>
  </si>
  <si>
    <t>View COUT Network Design Tab</t>
  </si>
  <si>
    <t>No</t>
  </si>
  <si>
    <r>
      <t>Use C</t>
    </r>
    <r>
      <rPr>
        <b/>
        <vertAlign val="subscript"/>
        <sz val="11"/>
        <color theme="1"/>
        <rFont val="Calibri"/>
        <family val="2"/>
        <scheme val="minor"/>
      </rPr>
      <t>OUT(HF)</t>
    </r>
    <r>
      <rPr>
        <b/>
        <sz val="11"/>
        <color theme="1"/>
        <rFont val="Calibri"/>
        <family val="2"/>
        <scheme val="minor"/>
      </rPr>
      <t xml:space="preserve">? </t>
    </r>
  </si>
  <si>
    <r>
      <rPr>
        <b/>
        <sz val="11"/>
        <color theme="1"/>
        <rFont val="Calibri"/>
        <family val="2"/>
      </rPr>
      <t>µ</t>
    </r>
    <r>
      <rPr>
        <b/>
        <sz val="7.7"/>
        <color theme="1"/>
        <rFont val="Calibri"/>
        <family val="2"/>
      </rPr>
      <t>F</t>
    </r>
  </si>
  <si>
    <r>
      <t>Use External Clock on SYNC-I (f</t>
    </r>
    <r>
      <rPr>
        <b/>
        <vertAlign val="subscript"/>
        <sz val="11"/>
        <color theme="1"/>
        <rFont val="Calibri"/>
        <family val="2"/>
        <scheme val="minor"/>
      </rPr>
      <t>OSC</t>
    </r>
    <r>
      <rPr>
        <b/>
        <sz val="11"/>
        <color theme="1"/>
        <rFont val="Calibri"/>
        <family val="2"/>
        <scheme val="minor"/>
      </rPr>
      <t>-15%)?</t>
    </r>
  </si>
  <si>
    <r>
      <t>Oscillator Frequency (f</t>
    </r>
    <r>
      <rPr>
        <b/>
        <vertAlign val="subscript"/>
        <sz val="11"/>
        <color theme="1"/>
        <rFont val="Calibri"/>
        <family val="2"/>
        <scheme val="minor"/>
      </rPr>
      <t>OSC</t>
    </r>
    <r>
      <rPr>
        <b/>
        <sz val="11"/>
        <color theme="1"/>
        <rFont val="Calibri"/>
        <family val="2"/>
        <scheme val="minor"/>
      </rPr>
      <t>= 2</t>
    </r>
    <r>
      <rPr>
        <b/>
        <sz val="11"/>
        <color theme="1"/>
        <rFont val="Calibri"/>
        <family val="2"/>
      </rPr>
      <t>•</t>
    </r>
    <r>
      <rPr>
        <b/>
        <sz val="11"/>
        <color theme="1"/>
        <rFont val="Calibri"/>
        <family val="2"/>
        <scheme val="minor"/>
      </rPr>
      <t>f</t>
    </r>
    <r>
      <rPr>
        <b/>
        <vertAlign val="subscript"/>
        <sz val="11"/>
        <color theme="1"/>
        <rFont val="Calibri"/>
        <family val="2"/>
        <scheme val="minor"/>
      </rPr>
      <t>SW</t>
    </r>
    <r>
      <rPr>
        <b/>
        <sz val="11"/>
        <color theme="1"/>
        <rFont val="Calibri"/>
        <family val="2"/>
        <scheme val="minor"/>
      </rPr>
      <t>)</t>
    </r>
  </si>
  <si>
    <r>
      <t>Target Ripple Current (ΔI</t>
    </r>
    <r>
      <rPr>
        <b/>
        <vertAlign val="subscript"/>
        <sz val="11"/>
        <color theme="1"/>
        <rFont val="Calibri"/>
        <family val="2"/>
        <scheme val="minor"/>
      </rPr>
      <t>L</t>
    </r>
    <r>
      <rPr>
        <b/>
        <sz val="11"/>
        <color theme="1"/>
        <rFont val="Calibri"/>
        <family val="2"/>
        <scheme val="minor"/>
      </rPr>
      <t>)</t>
    </r>
  </si>
  <si>
    <t>ns</t>
  </si>
  <si>
    <t>Absolute Max</t>
  </si>
  <si>
    <t>Typical</t>
  </si>
  <si>
    <r>
      <t>Selected Current Sense Resistor (R</t>
    </r>
    <r>
      <rPr>
        <b/>
        <vertAlign val="subscript"/>
        <sz val="11"/>
        <color theme="1"/>
        <rFont val="Calibri"/>
        <family val="2"/>
        <scheme val="minor"/>
      </rPr>
      <t>SEN</t>
    </r>
    <r>
      <rPr>
        <b/>
        <sz val="11"/>
        <color theme="1"/>
        <rFont val="Calibri"/>
        <family val="2"/>
        <scheme val="minor"/>
      </rPr>
      <t>)</t>
    </r>
  </si>
  <si>
    <t>OCP1</t>
  </si>
  <si>
    <t>W</t>
  </si>
  <si>
    <t>Typical @ Full-Load</t>
  </si>
  <si>
    <r>
      <t>R</t>
    </r>
    <r>
      <rPr>
        <b/>
        <vertAlign val="subscript"/>
        <sz val="11"/>
        <color theme="1"/>
        <rFont val="Calibri"/>
        <family val="2"/>
        <scheme val="minor"/>
      </rPr>
      <t>SEN</t>
    </r>
    <r>
      <rPr>
        <b/>
        <sz val="11"/>
        <color theme="1"/>
        <rFont val="Calibri"/>
        <family val="2"/>
        <scheme val="minor"/>
      </rPr>
      <t xml:space="preserve"> Power Dissipation @ OCP1 (P</t>
    </r>
    <r>
      <rPr>
        <b/>
        <vertAlign val="subscript"/>
        <sz val="11"/>
        <color theme="1"/>
        <rFont val="Calibri"/>
        <family val="2"/>
        <scheme val="minor"/>
      </rPr>
      <t>RSEN</t>
    </r>
    <r>
      <rPr>
        <b/>
        <sz val="11"/>
        <color theme="1"/>
        <rFont val="Calibri"/>
        <family val="2"/>
        <scheme val="minor"/>
      </rPr>
      <t>)</t>
    </r>
  </si>
  <si>
    <t>y-value</t>
  </si>
  <si>
    <t>Quantity per Phase</t>
  </si>
  <si>
    <t>Total Quantity</t>
  </si>
  <si>
    <t>T541X476M035AH6510</t>
  </si>
  <si>
    <t>04052-062MZ</t>
  </si>
  <si>
    <t>MFR PN</t>
  </si>
  <si>
    <t>ESR (mΩ)</t>
  </si>
  <si>
    <r>
      <t>CAP (</t>
    </r>
    <r>
      <rPr>
        <b/>
        <sz val="11"/>
        <color theme="1"/>
        <rFont val="Calibri"/>
        <family val="2"/>
      </rPr>
      <t>µ</t>
    </r>
    <r>
      <rPr>
        <b/>
        <sz val="11"/>
        <color theme="1"/>
        <rFont val="Calibri"/>
        <family val="2"/>
        <scheme val="minor"/>
      </rPr>
      <t>F)</t>
    </r>
  </si>
  <si>
    <t>Volt Rating (V)</t>
  </si>
  <si>
    <t>RMS Current @ 85C (A)</t>
  </si>
  <si>
    <t>DLA/ESCC</t>
  </si>
  <si>
    <t>301200405#476*E0065</t>
  </si>
  <si>
    <t>TES E 476 * 025</t>
  </si>
  <si>
    <t>RMS Voltage @ 85C (V)</t>
  </si>
  <si>
    <t>Quantity per phase</t>
  </si>
  <si>
    <r>
      <t>Use C</t>
    </r>
    <r>
      <rPr>
        <b/>
        <vertAlign val="subscript"/>
        <sz val="11"/>
        <color theme="1"/>
        <rFont val="Calibri"/>
        <family val="2"/>
        <scheme val="minor"/>
      </rPr>
      <t>OUT(MF2)</t>
    </r>
    <r>
      <rPr>
        <b/>
        <sz val="11"/>
        <color theme="1"/>
        <rFont val="Calibri"/>
        <family val="2"/>
        <scheme val="minor"/>
      </rPr>
      <t xml:space="preserve">? </t>
    </r>
  </si>
  <si>
    <r>
      <t>Use C</t>
    </r>
    <r>
      <rPr>
        <b/>
        <vertAlign val="subscript"/>
        <sz val="11"/>
        <color theme="1"/>
        <rFont val="Calibri"/>
        <family val="2"/>
        <scheme val="minor"/>
      </rPr>
      <t>OUT(MF3)</t>
    </r>
    <r>
      <rPr>
        <b/>
        <sz val="11"/>
        <color theme="1"/>
        <rFont val="Calibri"/>
        <family val="2"/>
        <scheme val="minor"/>
      </rPr>
      <t xml:space="preserve">? </t>
    </r>
  </si>
  <si>
    <t>Mid Frequency 3 Capacitor ESR</t>
  </si>
  <si>
    <t>Mid Frequency 3 Capacitor ESL</t>
  </si>
  <si>
    <t>Mid Frequency 2 Capacitor ESL</t>
  </si>
  <si>
    <t>Mid Frequency 2 Capacitor ESR</t>
  </si>
  <si>
    <r>
      <t>Mid Frequency 2 Capacitor Value (C</t>
    </r>
    <r>
      <rPr>
        <b/>
        <vertAlign val="subscript"/>
        <sz val="11"/>
        <color theme="1"/>
        <rFont val="Calibri"/>
        <family val="2"/>
        <scheme val="minor"/>
      </rPr>
      <t>OUT(MF2)</t>
    </r>
    <r>
      <rPr>
        <b/>
        <sz val="11"/>
        <color theme="1"/>
        <rFont val="Calibri"/>
        <family val="2"/>
        <scheme val="minor"/>
      </rPr>
      <t>)</t>
    </r>
  </si>
  <si>
    <r>
      <t>Mid Frequency 3 Capacitor Value (C</t>
    </r>
    <r>
      <rPr>
        <b/>
        <vertAlign val="subscript"/>
        <sz val="11"/>
        <color theme="1"/>
        <rFont val="Calibri"/>
        <family val="2"/>
        <scheme val="minor"/>
      </rPr>
      <t>OUT(MF3)</t>
    </r>
    <r>
      <rPr>
        <b/>
        <sz val="11"/>
        <color theme="1"/>
        <rFont val="Calibri"/>
        <family val="2"/>
        <scheme val="minor"/>
      </rPr>
      <t>)</t>
    </r>
  </si>
  <si>
    <t>Total</t>
  </si>
  <si>
    <r>
      <t>ESR (m</t>
    </r>
    <r>
      <rPr>
        <b/>
        <sz val="11"/>
        <color theme="1"/>
        <rFont val="Calibri"/>
        <family val="2"/>
      </rPr>
      <t>Ω)</t>
    </r>
  </si>
  <si>
    <t>ESL (nH)</t>
  </si>
  <si>
    <t>MHz</t>
  </si>
  <si>
    <t>KhZ</t>
  </si>
  <si>
    <t>Input Capacitor ESR</t>
  </si>
  <si>
    <t>Input Capacitor ESL</t>
  </si>
  <si>
    <t>Input Capacitor 2 ESL</t>
  </si>
  <si>
    <t>Input Capacitor 2 ESR</t>
  </si>
  <si>
    <t xml:space="preserve">Add second CIN? </t>
  </si>
  <si>
    <t xml:space="preserve">Add third CIN? </t>
  </si>
  <si>
    <t>Input Capacitor 3 ESR</t>
  </si>
  <si>
    <t>Input Capacitor 3 ESL</t>
  </si>
  <si>
    <t>FREQ (Hz)</t>
  </si>
  <si>
    <r>
      <t>Use C</t>
    </r>
    <r>
      <rPr>
        <b/>
        <vertAlign val="subscript"/>
        <sz val="11"/>
        <color theme="1"/>
        <rFont val="Calibri"/>
        <family val="2"/>
        <scheme val="minor"/>
      </rPr>
      <t>OUT(MF1)</t>
    </r>
    <r>
      <rPr>
        <b/>
        <sz val="11"/>
        <color theme="1"/>
        <rFont val="Calibri"/>
        <family val="2"/>
        <scheme val="minor"/>
      </rPr>
      <t xml:space="preserve">? </t>
    </r>
  </si>
  <si>
    <r>
      <t>Mid Frequency 1 Capacitor Value (C</t>
    </r>
    <r>
      <rPr>
        <b/>
        <vertAlign val="subscript"/>
        <sz val="11"/>
        <color theme="1"/>
        <rFont val="Calibri"/>
        <family val="2"/>
        <scheme val="minor"/>
      </rPr>
      <t>OUT(MF1)</t>
    </r>
    <r>
      <rPr>
        <b/>
        <sz val="11"/>
        <color theme="1"/>
        <rFont val="Calibri"/>
        <family val="2"/>
        <scheme val="minor"/>
      </rPr>
      <t>)</t>
    </r>
  </si>
  <si>
    <t>Mid Frequency 1 Capacitor ESR</t>
  </si>
  <si>
    <t>Mid Frequency 1 Capacitor ESL</t>
  </si>
  <si>
    <t>XC(HF) (Ω)</t>
  </si>
  <si>
    <t>XL(HF) (mΩ)</t>
  </si>
  <si>
    <t>Z(BULK)</t>
  </si>
  <si>
    <t>Z(MF1)</t>
  </si>
  <si>
    <t>Z(MF2)</t>
  </si>
  <si>
    <t>Z(MF3)</t>
  </si>
  <si>
    <t>Z(HF)</t>
  </si>
  <si>
    <t>Mid Frequency 1 Capacitor Resonance</t>
  </si>
  <si>
    <t>Mid Frequency 2 Capacitor Resonance</t>
  </si>
  <si>
    <t>Mid Frequency 3 Capacitor Resonance</t>
  </si>
  <si>
    <t>High Frequency Capacitor Resonance</t>
  </si>
  <si>
    <t>Total High Frequency Capacitance ESR</t>
  </si>
  <si>
    <t>Total Mid Frequency 3 Capacitance ESR</t>
  </si>
  <si>
    <t>Total Mid Frequency 2 Capacitance ESR</t>
  </si>
  <si>
    <t>Total Mid Frequency 1 Capacitance ESL</t>
  </si>
  <si>
    <t>Total Mid Frequency 1 Capacitance ESR</t>
  </si>
  <si>
    <t>ON/OFF Time Problem?</t>
  </si>
  <si>
    <r>
      <t>Inductor (L</t>
    </r>
    <r>
      <rPr>
        <b/>
        <vertAlign val="subscript"/>
        <sz val="11"/>
        <color theme="1"/>
        <rFont val="Calibri"/>
        <family val="2"/>
        <scheme val="minor"/>
      </rPr>
      <t>SEL</t>
    </r>
    <r>
      <rPr>
        <b/>
        <sz val="11"/>
        <color theme="1"/>
        <rFont val="Calibri"/>
        <family val="2"/>
        <scheme val="minor"/>
      </rPr>
      <t>) Ripple Current per phase (</t>
    </r>
    <r>
      <rPr>
        <b/>
        <sz val="11"/>
        <color theme="1"/>
        <rFont val="Calibri"/>
        <family val="2"/>
      </rPr>
      <t>ΔI</t>
    </r>
    <r>
      <rPr>
        <b/>
        <vertAlign val="subscript"/>
        <sz val="11"/>
        <color theme="1"/>
        <rFont val="Calibri"/>
        <family val="2"/>
      </rPr>
      <t>L(phase)</t>
    </r>
    <r>
      <rPr>
        <b/>
        <sz val="11"/>
        <color theme="1"/>
        <rFont val="Calibri"/>
        <family val="2"/>
      </rPr>
      <t>)</t>
    </r>
  </si>
  <si>
    <r>
      <t>Inductor (L</t>
    </r>
    <r>
      <rPr>
        <b/>
        <vertAlign val="subscript"/>
        <sz val="11"/>
        <color theme="1"/>
        <rFont val="Calibri"/>
        <family val="2"/>
        <scheme val="minor"/>
      </rPr>
      <t>SEL</t>
    </r>
    <r>
      <rPr>
        <b/>
        <sz val="11"/>
        <color theme="1"/>
        <rFont val="Calibri"/>
        <family val="2"/>
        <scheme val="minor"/>
      </rPr>
      <t>) Ripple Current (ΔI</t>
    </r>
    <r>
      <rPr>
        <b/>
        <vertAlign val="subscript"/>
        <sz val="11"/>
        <color theme="1"/>
        <rFont val="Calibri"/>
        <family val="2"/>
        <scheme val="minor"/>
      </rPr>
      <t>L</t>
    </r>
    <r>
      <rPr>
        <b/>
        <sz val="11"/>
        <color theme="1"/>
        <rFont val="Calibri"/>
        <family val="2"/>
        <scheme val="minor"/>
      </rPr>
      <t>)</t>
    </r>
  </si>
  <si>
    <t>These values come from the Datasheet. Avoid changing these.</t>
  </si>
  <si>
    <t>±20%</t>
  </si>
  <si>
    <t>±10%</t>
  </si>
  <si>
    <t>±5%, ±2%</t>
  </si>
  <si>
    <t>±2%</t>
  </si>
  <si>
    <t>±1%</t>
  </si>
  <si>
    <t xml:space="preserve">±0.1%, ±0.25%, ±0.5%, </t>
  </si>
  <si>
    <r>
      <t xml:space="preserve">Available in </t>
    </r>
    <r>
      <rPr>
        <sz val="11"/>
        <color theme="1"/>
        <rFont val="Calibri"/>
        <family val="2"/>
      </rPr>
      <t xml:space="preserve">±1%, ±5%, and ±10% </t>
    </r>
  </si>
  <si>
    <r>
      <t>Max Load Step Rise-Time (t</t>
    </r>
    <r>
      <rPr>
        <b/>
        <vertAlign val="subscript"/>
        <sz val="11"/>
        <color theme="1"/>
        <rFont val="Calibri"/>
        <family val="2"/>
        <scheme val="minor"/>
      </rPr>
      <t>STEP</t>
    </r>
    <r>
      <rPr>
        <b/>
        <sz val="11"/>
        <color theme="1"/>
        <rFont val="Calibri"/>
        <family val="2"/>
        <scheme val="minor"/>
      </rPr>
      <t>)</t>
    </r>
  </si>
  <si>
    <r>
      <t>f</t>
    </r>
    <r>
      <rPr>
        <b/>
        <vertAlign val="subscript"/>
        <sz val="11"/>
        <color theme="1"/>
        <rFont val="Calibri"/>
        <family val="2"/>
        <scheme val="minor"/>
      </rPr>
      <t>T</t>
    </r>
  </si>
  <si>
    <r>
      <t>f</t>
    </r>
    <r>
      <rPr>
        <b/>
        <vertAlign val="subscript"/>
        <sz val="11"/>
        <color theme="1"/>
        <rFont val="Calibri"/>
        <family val="2"/>
        <scheme val="minor"/>
      </rPr>
      <t>STEP</t>
    </r>
  </si>
  <si>
    <r>
      <t>Calculated Output Voltage (V</t>
    </r>
    <r>
      <rPr>
        <b/>
        <vertAlign val="subscript"/>
        <sz val="11"/>
        <color theme="1"/>
        <rFont val="Calibri"/>
        <family val="2"/>
        <scheme val="minor"/>
      </rPr>
      <t>OUT</t>
    </r>
    <r>
      <rPr>
        <b/>
        <sz val="11"/>
        <color theme="1"/>
        <rFont val="Calibri"/>
        <family val="2"/>
        <scheme val="minor"/>
      </rPr>
      <t>)</t>
    </r>
  </si>
  <si>
    <r>
      <t>Input Capacitor 1 Value (C</t>
    </r>
    <r>
      <rPr>
        <b/>
        <vertAlign val="subscript"/>
        <sz val="11"/>
        <color theme="1"/>
        <rFont val="Calibri"/>
        <family val="2"/>
        <scheme val="minor"/>
      </rPr>
      <t>IN1</t>
    </r>
    <r>
      <rPr>
        <b/>
        <sz val="11"/>
        <color theme="1"/>
        <rFont val="Calibri"/>
        <family val="2"/>
        <scheme val="minor"/>
      </rPr>
      <t>)</t>
    </r>
  </si>
  <si>
    <r>
      <t>Input Capacitor 2 Value (C</t>
    </r>
    <r>
      <rPr>
        <b/>
        <vertAlign val="subscript"/>
        <sz val="11"/>
        <color theme="1"/>
        <rFont val="Calibri"/>
        <family val="2"/>
        <scheme val="minor"/>
      </rPr>
      <t>IN2</t>
    </r>
    <r>
      <rPr>
        <b/>
        <sz val="11"/>
        <color theme="1"/>
        <rFont val="Calibri"/>
        <family val="2"/>
        <scheme val="minor"/>
      </rPr>
      <t>)</t>
    </r>
  </si>
  <si>
    <r>
      <t>Input Capacitor 3 Value (C</t>
    </r>
    <r>
      <rPr>
        <b/>
        <vertAlign val="subscript"/>
        <sz val="11"/>
        <color theme="1"/>
        <rFont val="Calibri"/>
        <family val="2"/>
        <scheme val="minor"/>
      </rPr>
      <t>IN3</t>
    </r>
    <r>
      <rPr>
        <b/>
        <sz val="11"/>
        <color theme="1"/>
        <rFont val="Calibri"/>
        <family val="2"/>
        <scheme val="minor"/>
      </rPr>
      <t>)</t>
    </r>
  </si>
  <si>
    <r>
      <t>Bulk Output COUT/ESR Zero Frequency (f</t>
    </r>
    <r>
      <rPr>
        <b/>
        <vertAlign val="subscript"/>
        <sz val="11"/>
        <color theme="1"/>
        <rFont val="Calibri"/>
        <family val="2"/>
        <scheme val="minor"/>
      </rPr>
      <t>Z</t>
    </r>
    <r>
      <rPr>
        <b/>
        <sz val="11"/>
        <color theme="1"/>
        <rFont val="Calibri"/>
        <family val="2"/>
        <scheme val="minor"/>
      </rPr>
      <t>)</t>
    </r>
  </si>
  <si>
    <r>
      <t>FET Transition Time (t</t>
    </r>
    <r>
      <rPr>
        <b/>
        <vertAlign val="subscript"/>
        <sz val="11"/>
        <color theme="1"/>
        <rFont val="Calibri"/>
        <family val="2"/>
        <scheme val="minor"/>
      </rPr>
      <t>TRANSITION</t>
    </r>
    <r>
      <rPr>
        <b/>
        <sz val="11"/>
        <color theme="1"/>
        <rFont val="Calibri"/>
        <family val="2"/>
        <scheme val="minor"/>
      </rPr>
      <t>)</t>
    </r>
  </si>
  <si>
    <r>
      <t>f</t>
    </r>
    <r>
      <rPr>
        <b/>
        <vertAlign val="subscript"/>
        <sz val="11"/>
        <color theme="1"/>
        <rFont val="Calibri"/>
        <family val="2"/>
        <scheme val="minor"/>
      </rPr>
      <t>SW</t>
    </r>
  </si>
  <si>
    <r>
      <t>Minimum Controllable ON-Time (t</t>
    </r>
    <r>
      <rPr>
        <b/>
        <vertAlign val="subscript"/>
        <sz val="11"/>
        <color theme="1"/>
        <rFont val="Calibri"/>
        <family val="2"/>
        <scheme val="minor"/>
      </rPr>
      <t>MINCTRLON</t>
    </r>
    <r>
      <rPr>
        <b/>
        <sz val="11"/>
        <color theme="1"/>
        <rFont val="Calibri"/>
        <family val="2"/>
        <scheme val="minor"/>
      </rPr>
      <t>)</t>
    </r>
  </si>
  <si>
    <r>
      <t>Minimum Controllable OFF-Time (t</t>
    </r>
    <r>
      <rPr>
        <b/>
        <vertAlign val="subscript"/>
        <sz val="11"/>
        <color theme="1"/>
        <rFont val="Calibri"/>
        <family val="2"/>
        <scheme val="minor"/>
      </rPr>
      <t>MINCTRLOFF</t>
    </r>
    <r>
      <rPr>
        <b/>
        <sz val="11"/>
        <color theme="1"/>
        <rFont val="Calibri"/>
        <family val="2"/>
        <scheme val="minor"/>
      </rPr>
      <t>)</t>
    </r>
  </si>
  <si>
    <r>
      <t>Equivalent Parallel Capacitance 1 @f</t>
    </r>
    <r>
      <rPr>
        <b/>
        <vertAlign val="subscript"/>
        <sz val="11"/>
        <color theme="1"/>
        <rFont val="Calibri"/>
        <family val="2"/>
        <scheme val="minor"/>
      </rPr>
      <t xml:space="preserve">SW </t>
    </r>
    <r>
      <rPr>
        <b/>
        <sz val="11"/>
        <color theme="1"/>
        <rFont val="Calibri"/>
        <family val="2"/>
        <scheme val="minor"/>
      </rPr>
      <t>(C</t>
    </r>
    <r>
      <rPr>
        <b/>
        <vertAlign val="subscript"/>
        <sz val="11"/>
        <color theme="1"/>
        <rFont val="Calibri"/>
        <family val="2"/>
        <scheme val="minor"/>
      </rPr>
      <t>P1(SW)</t>
    </r>
    <r>
      <rPr>
        <b/>
        <sz val="11"/>
        <color theme="1"/>
        <rFont val="Calibri"/>
        <family val="2"/>
        <scheme val="minor"/>
      </rPr>
      <t>)</t>
    </r>
  </si>
  <si>
    <r>
      <t>Equivalent Parallel ESR 1 @f</t>
    </r>
    <r>
      <rPr>
        <b/>
        <vertAlign val="subscript"/>
        <sz val="11"/>
        <color theme="1"/>
        <rFont val="Calibri"/>
        <family val="2"/>
        <scheme val="minor"/>
      </rPr>
      <t>SW</t>
    </r>
    <r>
      <rPr>
        <b/>
        <sz val="11"/>
        <color theme="1"/>
        <rFont val="Calibri"/>
        <family val="2"/>
        <scheme val="minor"/>
      </rPr>
      <t xml:space="preserve"> (ESR</t>
    </r>
    <r>
      <rPr>
        <b/>
        <vertAlign val="subscript"/>
        <sz val="11"/>
        <color theme="1"/>
        <rFont val="Calibri"/>
        <family val="2"/>
        <scheme val="minor"/>
      </rPr>
      <t>P1(SW)</t>
    </r>
    <r>
      <rPr>
        <b/>
        <sz val="11"/>
        <color theme="1"/>
        <rFont val="Calibri"/>
        <family val="2"/>
        <scheme val="minor"/>
      </rPr>
      <t>)</t>
    </r>
  </si>
  <si>
    <r>
      <t>Equivalent Parallel Capacitance 1 @f</t>
    </r>
    <r>
      <rPr>
        <b/>
        <vertAlign val="subscript"/>
        <sz val="11"/>
        <color theme="1"/>
        <rFont val="Calibri"/>
        <family val="2"/>
        <scheme val="minor"/>
      </rPr>
      <t>T</t>
    </r>
    <r>
      <rPr>
        <b/>
        <sz val="11"/>
        <color theme="1"/>
        <rFont val="Calibri"/>
        <family val="2"/>
        <scheme val="minor"/>
      </rPr>
      <t xml:space="preserve"> (C</t>
    </r>
    <r>
      <rPr>
        <b/>
        <vertAlign val="subscript"/>
        <sz val="11"/>
        <color theme="1"/>
        <rFont val="Calibri"/>
        <family val="2"/>
        <scheme val="minor"/>
      </rPr>
      <t>P1(T)</t>
    </r>
    <r>
      <rPr>
        <b/>
        <sz val="11"/>
        <color theme="1"/>
        <rFont val="Calibri"/>
        <family val="2"/>
        <scheme val="minor"/>
      </rPr>
      <t>)</t>
    </r>
  </si>
  <si>
    <r>
      <t>Equivalent Parallel ESR 1 @f</t>
    </r>
    <r>
      <rPr>
        <b/>
        <vertAlign val="subscript"/>
        <sz val="11"/>
        <color theme="1"/>
        <rFont val="Calibri"/>
        <family val="2"/>
        <scheme val="minor"/>
      </rPr>
      <t>T</t>
    </r>
    <r>
      <rPr>
        <b/>
        <sz val="11"/>
        <color theme="1"/>
        <rFont val="Calibri"/>
        <family val="2"/>
        <scheme val="minor"/>
      </rPr>
      <t xml:space="preserve"> (ESR</t>
    </r>
    <r>
      <rPr>
        <b/>
        <vertAlign val="subscript"/>
        <sz val="11"/>
        <color theme="1"/>
        <rFont val="Calibri"/>
        <family val="2"/>
        <scheme val="minor"/>
      </rPr>
      <t>P1(T)</t>
    </r>
    <r>
      <rPr>
        <b/>
        <sz val="11"/>
        <color theme="1"/>
        <rFont val="Calibri"/>
        <family val="2"/>
        <scheme val="minor"/>
      </rPr>
      <t>)</t>
    </r>
  </si>
  <si>
    <r>
      <t>Capacitor 2 Resonance Frequency (f</t>
    </r>
    <r>
      <rPr>
        <b/>
        <vertAlign val="subscript"/>
        <sz val="11"/>
        <color theme="1"/>
        <rFont val="Calibri"/>
        <family val="2"/>
        <scheme val="minor"/>
      </rPr>
      <t>R2</t>
    </r>
    <r>
      <rPr>
        <b/>
        <sz val="11"/>
        <color theme="1"/>
        <rFont val="Calibri"/>
        <family val="2"/>
        <scheme val="minor"/>
      </rPr>
      <t>)</t>
    </r>
  </si>
  <si>
    <r>
      <t>Capacitor 1 Resonance Frequency (f</t>
    </r>
    <r>
      <rPr>
        <b/>
        <vertAlign val="subscript"/>
        <sz val="11"/>
        <color theme="1"/>
        <rFont val="Calibri"/>
        <family val="2"/>
        <scheme val="minor"/>
      </rPr>
      <t>R1</t>
    </r>
    <r>
      <rPr>
        <b/>
        <sz val="11"/>
        <color theme="1"/>
        <rFont val="Calibri"/>
        <family val="2"/>
        <scheme val="minor"/>
      </rPr>
      <t>)</t>
    </r>
  </si>
  <si>
    <r>
      <t>Equivalent Parallel ESR 2 @f</t>
    </r>
    <r>
      <rPr>
        <b/>
        <vertAlign val="subscript"/>
        <sz val="11"/>
        <color theme="1"/>
        <rFont val="Calibri"/>
        <family val="2"/>
        <scheme val="minor"/>
      </rPr>
      <t>SW</t>
    </r>
    <r>
      <rPr>
        <b/>
        <sz val="11"/>
        <color theme="1"/>
        <rFont val="Calibri"/>
        <family val="2"/>
        <scheme val="minor"/>
      </rPr>
      <t xml:space="preserve"> (ESR</t>
    </r>
    <r>
      <rPr>
        <b/>
        <vertAlign val="subscript"/>
        <sz val="11"/>
        <color theme="1"/>
        <rFont val="Calibri"/>
        <family val="2"/>
        <scheme val="minor"/>
      </rPr>
      <t>P2(SW)</t>
    </r>
    <r>
      <rPr>
        <b/>
        <sz val="11"/>
        <color theme="1"/>
        <rFont val="Calibri"/>
        <family val="2"/>
        <scheme val="minor"/>
      </rPr>
      <t>)</t>
    </r>
  </si>
  <si>
    <r>
      <t>Capacitor 3 Resonance Frequency (f</t>
    </r>
    <r>
      <rPr>
        <b/>
        <vertAlign val="subscript"/>
        <sz val="11"/>
        <color theme="1"/>
        <rFont val="Calibri"/>
        <family val="2"/>
        <scheme val="minor"/>
      </rPr>
      <t>R3</t>
    </r>
    <r>
      <rPr>
        <b/>
        <sz val="11"/>
        <color theme="1"/>
        <rFont val="Calibri"/>
        <family val="2"/>
        <scheme val="minor"/>
      </rPr>
      <t>)</t>
    </r>
  </si>
  <si>
    <r>
      <t>ESR 3 @f</t>
    </r>
    <r>
      <rPr>
        <b/>
        <vertAlign val="subscript"/>
        <sz val="11"/>
        <color theme="1"/>
        <rFont val="Calibri"/>
        <family val="2"/>
        <scheme val="minor"/>
      </rPr>
      <t>TRANSITION</t>
    </r>
    <r>
      <rPr>
        <b/>
        <sz val="11"/>
        <color theme="1"/>
        <rFont val="Calibri"/>
        <family val="2"/>
        <scheme val="minor"/>
      </rPr>
      <t xml:space="preserve"> (ESR</t>
    </r>
    <r>
      <rPr>
        <b/>
        <vertAlign val="subscript"/>
        <sz val="11"/>
        <color theme="1"/>
        <rFont val="Calibri"/>
        <family val="2"/>
        <scheme val="minor"/>
      </rPr>
      <t>P3(TRANSITION)</t>
    </r>
    <r>
      <rPr>
        <b/>
        <sz val="11"/>
        <color theme="1"/>
        <rFont val="Calibri"/>
        <family val="2"/>
        <scheme val="minor"/>
      </rPr>
      <t>)</t>
    </r>
  </si>
  <si>
    <r>
      <t>Equivalent Parallel ESR 3 @f</t>
    </r>
    <r>
      <rPr>
        <b/>
        <vertAlign val="subscript"/>
        <sz val="11"/>
        <color theme="1"/>
        <rFont val="Calibri"/>
        <family val="2"/>
        <scheme val="minor"/>
      </rPr>
      <t>T</t>
    </r>
    <r>
      <rPr>
        <b/>
        <sz val="11"/>
        <color theme="1"/>
        <rFont val="Calibri"/>
        <family val="2"/>
        <scheme val="minor"/>
      </rPr>
      <t xml:space="preserve"> (ESR</t>
    </r>
    <r>
      <rPr>
        <b/>
        <vertAlign val="subscript"/>
        <sz val="11"/>
        <color theme="1"/>
        <rFont val="Calibri"/>
        <family val="2"/>
        <scheme val="minor"/>
      </rPr>
      <t>P3(T)</t>
    </r>
    <r>
      <rPr>
        <b/>
        <sz val="11"/>
        <color theme="1"/>
        <rFont val="Calibri"/>
        <family val="2"/>
        <scheme val="minor"/>
      </rPr>
      <t>)</t>
    </r>
  </si>
  <si>
    <r>
      <t>Total Equivalent Parallel Capacitance @f</t>
    </r>
    <r>
      <rPr>
        <b/>
        <vertAlign val="subscript"/>
        <sz val="11"/>
        <color theme="1"/>
        <rFont val="Calibri"/>
        <family val="2"/>
        <scheme val="minor"/>
      </rPr>
      <t>SW</t>
    </r>
    <r>
      <rPr>
        <b/>
        <sz val="11"/>
        <color theme="1"/>
        <rFont val="Calibri"/>
        <family val="2"/>
        <scheme val="minor"/>
      </rPr>
      <t xml:space="preserve"> (C</t>
    </r>
    <r>
      <rPr>
        <b/>
        <vertAlign val="subscript"/>
        <sz val="11"/>
        <color theme="1"/>
        <rFont val="Calibri"/>
        <family val="2"/>
        <scheme val="minor"/>
      </rPr>
      <t>PE(SW)</t>
    </r>
    <r>
      <rPr>
        <b/>
        <sz val="11"/>
        <color theme="1"/>
        <rFont val="Calibri"/>
        <family val="2"/>
        <scheme val="minor"/>
      </rPr>
      <t>)</t>
    </r>
  </si>
  <si>
    <r>
      <t>Total Equivalent Parallel Capacitance Impedance @f</t>
    </r>
    <r>
      <rPr>
        <b/>
        <vertAlign val="subscript"/>
        <sz val="11"/>
        <color theme="1"/>
        <rFont val="Calibri"/>
        <family val="2"/>
        <scheme val="minor"/>
      </rPr>
      <t>SW</t>
    </r>
    <r>
      <rPr>
        <b/>
        <sz val="11"/>
        <color theme="1"/>
        <rFont val="Calibri"/>
        <family val="2"/>
        <scheme val="minor"/>
      </rPr>
      <t xml:space="preserve"> (X</t>
    </r>
    <r>
      <rPr>
        <b/>
        <vertAlign val="subscript"/>
        <sz val="11"/>
        <color theme="1"/>
        <rFont val="Calibri"/>
        <family val="2"/>
        <scheme val="minor"/>
      </rPr>
      <t>PE(SW)</t>
    </r>
    <r>
      <rPr>
        <b/>
        <sz val="11"/>
        <color theme="1"/>
        <rFont val="Calibri"/>
        <family val="2"/>
        <scheme val="minor"/>
      </rPr>
      <t>)</t>
    </r>
  </si>
  <si>
    <r>
      <t>Total Equivalent Parallel ESR @f</t>
    </r>
    <r>
      <rPr>
        <b/>
        <vertAlign val="subscript"/>
        <sz val="11"/>
        <color theme="1"/>
        <rFont val="Calibri"/>
        <family val="2"/>
        <scheme val="minor"/>
      </rPr>
      <t>SW</t>
    </r>
    <r>
      <rPr>
        <b/>
        <sz val="11"/>
        <color theme="1"/>
        <rFont val="Calibri"/>
        <family val="2"/>
        <scheme val="minor"/>
      </rPr>
      <t xml:space="preserve"> (ESR</t>
    </r>
    <r>
      <rPr>
        <b/>
        <vertAlign val="subscript"/>
        <sz val="11"/>
        <color theme="1"/>
        <rFont val="Calibri"/>
        <family val="2"/>
        <scheme val="minor"/>
      </rPr>
      <t>PE(SW)</t>
    </r>
    <r>
      <rPr>
        <b/>
        <sz val="11"/>
        <color theme="1"/>
        <rFont val="Calibri"/>
        <family val="2"/>
        <scheme val="minor"/>
      </rPr>
      <t>)</t>
    </r>
  </si>
  <si>
    <r>
      <t>Total Equivalent Series Capacitance @f</t>
    </r>
    <r>
      <rPr>
        <b/>
        <vertAlign val="subscript"/>
        <sz val="11"/>
        <color theme="1"/>
        <rFont val="Calibri"/>
        <family val="2"/>
        <scheme val="minor"/>
      </rPr>
      <t>SW</t>
    </r>
    <r>
      <rPr>
        <b/>
        <sz val="11"/>
        <color theme="1"/>
        <rFont val="Calibri"/>
        <family val="2"/>
        <scheme val="minor"/>
      </rPr>
      <t xml:space="preserve"> (C</t>
    </r>
    <r>
      <rPr>
        <b/>
        <vertAlign val="subscript"/>
        <sz val="11"/>
        <color theme="1"/>
        <rFont val="Calibri"/>
        <family val="2"/>
        <scheme val="minor"/>
      </rPr>
      <t>SE(SW)</t>
    </r>
    <r>
      <rPr>
        <b/>
        <sz val="11"/>
        <color theme="1"/>
        <rFont val="Calibri"/>
        <family val="2"/>
        <scheme val="minor"/>
      </rPr>
      <t>)</t>
    </r>
  </si>
  <si>
    <r>
      <t>Total Equivalent Series ESR @f</t>
    </r>
    <r>
      <rPr>
        <b/>
        <vertAlign val="subscript"/>
        <sz val="11"/>
        <color theme="1"/>
        <rFont val="Calibri"/>
        <family val="2"/>
        <scheme val="minor"/>
      </rPr>
      <t>SW</t>
    </r>
    <r>
      <rPr>
        <b/>
        <sz val="11"/>
        <color theme="1"/>
        <rFont val="Calibri"/>
        <family val="2"/>
        <scheme val="minor"/>
      </rPr>
      <t xml:space="preserve"> (ESR</t>
    </r>
    <r>
      <rPr>
        <b/>
        <vertAlign val="subscript"/>
        <sz val="11"/>
        <color theme="1"/>
        <rFont val="Calibri"/>
        <family val="2"/>
        <scheme val="minor"/>
      </rPr>
      <t>SE(SW)</t>
    </r>
    <r>
      <rPr>
        <b/>
        <sz val="11"/>
        <color theme="1"/>
        <rFont val="Calibri"/>
        <family val="2"/>
        <scheme val="minor"/>
      </rPr>
      <t>)</t>
    </r>
  </si>
  <si>
    <r>
      <t>Total Equivalent Series Impedance @f</t>
    </r>
    <r>
      <rPr>
        <b/>
        <vertAlign val="subscript"/>
        <sz val="11"/>
        <color theme="1"/>
        <rFont val="Calibri"/>
        <family val="2"/>
        <scheme val="minor"/>
      </rPr>
      <t>SW</t>
    </r>
    <r>
      <rPr>
        <b/>
        <sz val="11"/>
        <color theme="1"/>
        <rFont val="Calibri"/>
        <family val="2"/>
        <scheme val="minor"/>
      </rPr>
      <t xml:space="preserve"> (Z</t>
    </r>
    <r>
      <rPr>
        <b/>
        <vertAlign val="subscript"/>
        <sz val="11"/>
        <color theme="1"/>
        <rFont val="Calibri"/>
        <family val="2"/>
        <scheme val="minor"/>
      </rPr>
      <t>TOTAL(SW)</t>
    </r>
    <r>
      <rPr>
        <b/>
        <sz val="11"/>
        <color theme="1"/>
        <rFont val="Calibri"/>
        <family val="2"/>
        <scheme val="minor"/>
      </rPr>
      <t>)</t>
    </r>
  </si>
  <si>
    <r>
      <t>Input RMS Current per Capacitor 1 @f</t>
    </r>
    <r>
      <rPr>
        <b/>
        <vertAlign val="subscript"/>
        <sz val="11"/>
        <color theme="1"/>
        <rFont val="Calibri"/>
        <family val="2"/>
        <scheme val="minor"/>
      </rPr>
      <t>SW</t>
    </r>
    <r>
      <rPr>
        <b/>
        <sz val="11"/>
        <color theme="1"/>
        <rFont val="Calibri"/>
        <family val="2"/>
        <scheme val="minor"/>
      </rPr>
      <t xml:space="preserve"> (I</t>
    </r>
    <r>
      <rPr>
        <b/>
        <vertAlign val="subscript"/>
        <sz val="11"/>
        <color theme="1"/>
        <rFont val="Calibri"/>
        <family val="2"/>
        <scheme val="minor"/>
      </rPr>
      <t>CIN1(RMS, SW)</t>
    </r>
    <r>
      <rPr>
        <b/>
        <sz val="11"/>
        <color theme="1"/>
        <rFont val="Calibri"/>
        <family val="2"/>
        <scheme val="minor"/>
      </rPr>
      <t>)</t>
    </r>
  </si>
  <si>
    <r>
      <t>Input RMS Current per Capacitor 3 @f</t>
    </r>
    <r>
      <rPr>
        <b/>
        <vertAlign val="subscript"/>
        <sz val="11"/>
        <color theme="1"/>
        <rFont val="Calibri"/>
        <family val="2"/>
        <scheme val="minor"/>
      </rPr>
      <t>SW</t>
    </r>
    <r>
      <rPr>
        <b/>
        <sz val="11"/>
        <color theme="1"/>
        <rFont val="Calibri"/>
        <family val="2"/>
        <scheme val="minor"/>
      </rPr>
      <t xml:space="preserve"> (I</t>
    </r>
    <r>
      <rPr>
        <b/>
        <vertAlign val="subscript"/>
        <sz val="11"/>
        <color theme="1"/>
        <rFont val="Calibri"/>
        <family val="2"/>
        <scheme val="minor"/>
      </rPr>
      <t>CIN3(RMS, SW)</t>
    </r>
    <r>
      <rPr>
        <b/>
        <sz val="11"/>
        <color theme="1"/>
        <rFont val="Calibri"/>
        <family val="2"/>
        <scheme val="minor"/>
      </rPr>
      <t>)</t>
    </r>
  </si>
  <si>
    <r>
      <t>Input RMS Current per Capacitor 2 @f</t>
    </r>
    <r>
      <rPr>
        <b/>
        <vertAlign val="subscript"/>
        <sz val="11"/>
        <color theme="1"/>
        <rFont val="Calibri"/>
        <family val="2"/>
        <scheme val="minor"/>
      </rPr>
      <t>SW</t>
    </r>
    <r>
      <rPr>
        <b/>
        <sz val="11"/>
        <color theme="1"/>
        <rFont val="Calibri"/>
        <family val="2"/>
        <scheme val="minor"/>
      </rPr>
      <t xml:space="preserve"> (I</t>
    </r>
    <r>
      <rPr>
        <b/>
        <vertAlign val="subscript"/>
        <sz val="11"/>
        <color theme="1"/>
        <rFont val="Calibri"/>
        <family val="2"/>
        <scheme val="minor"/>
      </rPr>
      <t>CIN2(RMS, SW)</t>
    </r>
    <r>
      <rPr>
        <b/>
        <sz val="11"/>
        <color theme="1"/>
        <rFont val="Calibri"/>
        <family val="2"/>
        <scheme val="minor"/>
      </rPr>
      <t>)</t>
    </r>
  </si>
  <si>
    <r>
      <t>Total Equivalent Parallel Capacitance @f</t>
    </r>
    <r>
      <rPr>
        <b/>
        <vertAlign val="subscript"/>
        <sz val="11"/>
        <color theme="1"/>
        <rFont val="Calibri"/>
        <family val="2"/>
        <scheme val="minor"/>
      </rPr>
      <t>T</t>
    </r>
    <r>
      <rPr>
        <b/>
        <sz val="11"/>
        <color theme="1"/>
        <rFont val="Calibri"/>
        <family val="2"/>
        <scheme val="minor"/>
      </rPr>
      <t xml:space="preserve"> (C</t>
    </r>
    <r>
      <rPr>
        <b/>
        <vertAlign val="subscript"/>
        <sz val="11"/>
        <color theme="1"/>
        <rFont val="Calibri"/>
        <family val="2"/>
        <scheme val="minor"/>
      </rPr>
      <t>PE(T)</t>
    </r>
    <r>
      <rPr>
        <b/>
        <sz val="11"/>
        <color theme="1"/>
        <rFont val="Calibri"/>
        <family val="2"/>
        <scheme val="minor"/>
      </rPr>
      <t>)</t>
    </r>
  </si>
  <si>
    <r>
      <t>Total Equivalent Parallel Capacitance Impedance @f</t>
    </r>
    <r>
      <rPr>
        <b/>
        <vertAlign val="subscript"/>
        <sz val="11"/>
        <color theme="1"/>
        <rFont val="Calibri"/>
        <family val="2"/>
        <scheme val="minor"/>
      </rPr>
      <t>T</t>
    </r>
    <r>
      <rPr>
        <b/>
        <sz val="11"/>
        <color theme="1"/>
        <rFont val="Calibri"/>
        <family val="2"/>
        <scheme val="minor"/>
      </rPr>
      <t xml:space="preserve"> (X</t>
    </r>
    <r>
      <rPr>
        <b/>
        <vertAlign val="subscript"/>
        <sz val="11"/>
        <color theme="1"/>
        <rFont val="Calibri"/>
        <family val="2"/>
        <scheme val="minor"/>
      </rPr>
      <t>PE(T)</t>
    </r>
    <r>
      <rPr>
        <b/>
        <sz val="11"/>
        <color theme="1"/>
        <rFont val="Calibri"/>
        <family val="2"/>
        <scheme val="minor"/>
      </rPr>
      <t>)</t>
    </r>
  </si>
  <si>
    <r>
      <t>Total Equivalent Parallel ESR @f</t>
    </r>
    <r>
      <rPr>
        <b/>
        <vertAlign val="subscript"/>
        <sz val="11"/>
        <color theme="1"/>
        <rFont val="Calibri"/>
        <family val="2"/>
        <scheme val="minor"/>
      </rPr>
      <t>T</t>
    </r>
    <r>
      <rPr>
        <b/>
        <sz val="11"/>
        <color theme="1"/>
        <rFont val="Calibri"/>
        <family val="2"/>
        <scheme val="minor"/>
      </rPr>
      <t xml:space="preserve"> (ESR</t>
    </r>
    <r>
      <rPr>
        <b/>
        <vertAlign val="subscript"/>
        <sz val="11"/>
        <color theme="1"/>
        <rFont val="Calibri"/>
        <family val="2"/>
        <scheme val="minor"/>
      </rPr>
      <t>PE(T)</t>
    </r>
    <r>
      <rPr>
        <b/>
        <sz val="11"/>
        <color theme="1"/>
        <rFont val="Calibri"/>
        <family val="2"/>
        <scheme val="minor"/>
      </rPr>
      <t>)</t>
    </r>
  </si>
  <si>
    <r>
      <t>Total Equivalent Series Capacitance @f</t>
    </r>
    <r>
      <rPr>
        <b/>
        <vertAlign val="subscript"/>
        <sz val="11"/>
        <color theme="1"/>
        <rFont val="Calibri"/>
        <family val="2"/>
        <scheme val="minor"/>
      </rPr>
      <t>T</t>
    </r>
    <r>
      <rPr>
        <b/>
        <sz val="11"/>
        <color theme="1"/>
        <rFont val="Calibri"/>
        <family val="2"/>
        <scheme val="minor"/>
      </rPr>
      <t xml:space="preserve"> (C</t>
    </r>
    <r>
      <rPr>
        <b/>
        <vertAlign val="subscript"/>
        <sz val="11"/>
        <color theme="1"/>
        <rFont val="Calibri"/>
        <family val="2"/>
        <scheme val="minor"/>
      </rPr>
      <t>SE(T)</t>
    </r>
    <r>
      <rPr>
        <b/>
        <sz val="11"/>
        <color theme="1"/>
        <rFont val="Calibri"/>
        <family val="2"/>
        <scheme val="minor"/>
      </rPr>
      <t>)</t>
    </r>
  </si>
  <si>
    <r>
      <t>Total Equivalent Series Impedance @f</t>
    </r>
    <r>
      <rPr>
        <b/>
        <vertAlign val="subscript"/>
        <sz val="11"/>
        <color theme="1"/>
        <rFont val="Calibri"/>
        <family val="2"/>
        <scheme val="minor"/>
      </rPr>
      <t>T</t>
    </r>
    <r>
      <rPr>
        <b/>
        <sz val="11"/>
        <color theme="1"/>
        <rFont val="Calibri"/>
        <family val="2"/>
        <scheme val="minor"/>
      </rPr>
      <t xml:space="preserve"> (X</t>
    </r>
    <r>
      <rPr>
        <b/>
        <vertAlign val="subscript"/>
        <sz val="11"/>
        <color theme="1"/>
        <rFont val="Calibri"/>
        <family val="2"/>
        <scheme val="minor"/>
      </rPr>
      <t>SE(T)</t>
    </r>
    <r>
      <rPr>
        <b/>
        <sz val="11"/>
        <color theme="1"/>
        <rFont val="Calibri"/>
        <family val="2"/>
        <scheme val="minor"/>
      </rPr>
      <t>)</t>
    </r>
  </si>
  <si>
    <r>
      <t>Total Equivalent Series ESR @f</t>
    </r>
    <r>
      <rPr>
        <b/>
        <vertAlign val="subscript"/>
        <sz val="11"/>
        <color theme="1"/>
        <rFont val="Calibri"/>
        <family val="2"/>
        <scheme val="minor"/>
      </rPr>
      <t>T</t>
    </r>
    <r>
      <rPr>
        <b/>
        <sz val="11"/>
        <color theme="1"/>
        <rFont val="Calibri"/>
        <family val="2"/>
        <scheme val="minor"/>
      </rPr>
      <t xml:space="preserve"> (ESR</t>
    </r>
    <r>
      <rPr>
        <b/>
        <vertAlign val="subscript"/>
        <sz val="11"/>
        <color theme="1"/>
        <rFont val="Calibri"/>
        <family val="2"/>
        <scheme val="minor"/>
      </rPr>
      <t>SE(T)</t>
    </r>
    <r>
      <rPr>
        <b/>
        <sz val="11"/>
        <color theme="1"/>
        <rFont val="Calibri"/>
        <family val="2"/>
        <scheme val="minor"/>
      </rPr>
      <t>)</t>
    </r>
  </si>
  <si>
    <r>
      <t>Total Equivalent Series Impedance @f</t>
    </r>
    <r>
      <rPr>
        <b/>
        <vertAlign val="subscript"/>
        <sz val="11"/>
        <color theme="1"/>
        <rFont val="Calibri"/>
        <family val="2"/>
        <scheme val="minor"/>
      </rPr>
      <t>T</t>
    </r>
    <r>
      <rPr>
        <b/>
        <sz val="11"/>
        <color theme="1"/>
        <rFont val="Calibri"/>
        <family val="2"/>
        <scheme val="minor"/>
      </rPr>
      <t xml:space="preserve"> (Z</t>
    </r>
    <r>
      <rPr>
        <b/>
        <vertAlign val="subscript"/>
        <sz val="11"/>
        <color theme="1"/>
        <rFont val="Calibri"/>
        <family val="2"/>
        <scheme val="minor"/>
      </rPr>
      <t>TOTAL(T)</t>
    </r>
    <r>
      <rPr>
        <b/>
        <sz val="11"/>
        <color theme="1"/>
        <rFont val="Calibri"/>
        <family val="2"/>
        <scheme val="minor"/>
      </rPr>
      <t>)</t>
    </r>
  </si>
  <si>
    <r>
      <t>Load Step Input Impedance (Z</t>
    </r>
    <r>
      <rPr>
        <b/>
        <vertAlign val="subscript"/>
        <sz val="11"/>
        <color theme="1"/>
        <rFont val="Calibri"/>
        <family val="2"/>
        <scheme val="minor"/>
      </rPr>
      <t>STEP, T</t>
    </r>
    <r>
      <rPr>
        <b/>
        <sz val="11"/>
        <color theme="1"/>
        <rFont val="Calibri"/>
        <family val="2"/>
        <scheme val="minor"/>
      </rPr>
      <t>)</t>
    </r>
  </si>
  <si>
    <r>
      <t>Total Bulk Output Capacitance (C</t>
    </r>
    <r>
      <rPr>
        <b/>
        <vertAlign val="subscript"/>
        <sz val="11"/>
        <color theme="1"/>
        <rFont val="Calibri"/>
        <family val="2"/>
        <scheme val="minor"/>
      </rPr>
      <t>OUT(TOTAL, BULK)</t>
    </r>
    <r>
      <rPr>
        <b/>
        <sz val="11"/>
        <color theme="1"/>
        <rFont val="Calibri"/>
        <family val="2"/>
        <scheme val="minor"/>
      </rPr>
      <t>)</t>
    </r>
  </si>
  <si>
    <r>
      <t>Total Mid Frequency 1 Capacitance (C</t>
    </r>
    <r>
      <rPr>
        <b/>
        <vertAlign val="subscript"/>
        <sz val="11"/>
        <color theme="1"/>
        <rFont val="Calibri"/>
        <family val="2"/>
        <scheme val="minor"/>
      </rPr>
      <t>OUT(TOTAL, MF1)</t>
    </r>
    <r>
      <rPr>
        <b/>
        <sz val="11"/>
        <color theme="1"/>
        <rFont val="Calibri"/>
        <family val="2"/>
        <scheme val="minor"/>
      </rPr>
      <t>)</t>
    </r>
  </si>
  <si>
    <r>
      <t>Total High Frequency Capacitance (C</t>
    </r>
    <r>
      <rPr>
        <b/>
        <vertAlign val="subscript"/>
        <sz val="11"/>
        <color theme="1"/>
        <rFont val="Calibri"/>
        <family val="2"/>
        <scheme val="minor"/>
      </rPr>
      <t>OUT(TOTAL, HF)</t>
    </r>
    <r>
      <rPr>
        <b/>
        <sz val="11"/>
        <color theme="1"/>
        <rFont val="Calibri"/>
        <family val="2"/>
        <scheme val="minor"/>
      </rPr>
      <t>)</t>
    </r>
  </si>
  <si>
    <r>
      <t>Total Mid Frequency 3 Capacitance (C</t>
    </r>
    <r>
      <rPr>
        <b/>
        <vertAlign val="subscript"/>
        <sz val="11"/>
        <color theme="1"/>
        <rFont val="Calibri"/>
        <family val="2"/>
        <scheme val="minor"/>
      </rPr>
      <t>OUT(TOTAL, MF3)</t>
    </r>
    <r>
      <rPr>
        <b/>
        <sz val="11"/>
        <color theme="1"/>
        <rFont val="Calibri"/>
        <family val="2"/>
        <scheme val="minor"/>
      </rPr>
      <t>)</t>
    </r>
  </si>
  <si>
    <r>
      <t>Total Mid Frequency 2 Capacitance (C</t>
    </r>
    <r>
      <rPr>
        <b/>
        <vertAlign val="subscript"/>
        <sz val="11"/>
        <color theme="1"/>
        <rFont val="Calibri"/>
        <family val="2"/>
        <scheme val="minor"/>
      </rPr>
      <t>OUT(TOTAL, MF2)</t>
    </r>
    <r>
      <rPr>
        <b/>
        <sz val="11"/>
        <color theme="1"/>
        <rFont val="Calibri"/>
        <family val="2"/>
        <scheme val="minor"/>
      </rPr>
      <t>)</t>
    </r>
  </si>
  <si>
    <r>
      <t>XC(BULK) (m</t>
    </r>
    <r>
      <rPr>
        <b/>
        <sz val="11"/>
        <color theme="1"/>
        <rFont val="Calibri"/>
        <family val="2"/>
      </rPr>
      <t>Ω)</t>
    </r>
  </si>
  <si>
    <r>
      <t>XL(BULK) (m</t>
    </r>
    <r>
      <rPr>
        <b/>
        <sz val="11"/>
        <color theme="1"/>
        <rFont val="Calibri"/>
        <family val="2"/>
      </rPr>
      <t>Ω)</t>
    </r>
  </si>
  <si>
    <r>
      <t>R(BULK) (m</t>
    </r>
    <r>
      <rPr>
        <b/>
        <sz val="11"/>
        <color theme="1"/>
        <rFont val="Calibri"/>
        <family val="2"/>
      </rPr>
      <t>Ω)</t>
    </r>
  </si>
  <si>
    <t>XC(MF1) (mΩ)</t>
  </si>
  <si>
    <t>XL(MF1) (mΩ)</t>
  </si>
  <si>
    <t>R(MF1) (mΩ)</t>
  </si>
  <si>
    <t>XC(MF2) (mΩ)</t>
  </si>
  <si>
    <t>XL(MF2) (mΩ)</t>
  </si>
  <si>
    <t>R(MF2) (mΩ)</t>
  </si>
  <si>
    <t>XC(MF3) (mΩ)</t>
  </si>
  <si>
    <t>XL(MF3) (mΩ)</t>
  </si>
  <si>
    <t>R(MF3) (mΩ)</t>
  </si>
  <si>
    <t>R(HF) (mΩ)</t>
  </si>
  <si>
    <t>Total High Frequency Capacitance ESL</t>
  </si>
  <si>
    <t>Total Mid Frequency 3 Capacitance ESL</t>
  </si>
  <si>
    <t>Total Mid Frequency 2 Capacitance ESL</t>
  </si>
  <si>
    <t>Total Bulk Output Capacitance ESL</t>
  </si>
  <si>
    <t>Bulk Capacitor Resonance</t>
  </si>
  <si>
    <r>
      <t>Equivalent Parallel ESR 2 @f</t>
    </r>
    <r>
      <rPr>
        <b/>
        <vertAlign val="subscript"/>
        <sz val="11"/>
        <color theme="1"/>
        <rFont val="Calibri"/>
        <family val="2"/>
        <scheme val="minor"/>
      </rPr>
      <t>T</t>
    </r>
    <r>
      <rPr>
        <b/>
        <sz val="11"/>
        <color theme="1"/>
        <rFont val="Calibri"/>
        <family val="2"/>
        <scheme val="minor"/>
      </rPr>
      <t xml:space="preserve"> (ESR</t>
    </r>
    <r>
      <rPr>
        <b/>
        <vertAlign val="subscript"/>
        <sz val="11"/>
        <color theme="1"/>
        <rFont val="Calibri"/>
        <family val="2"/>
        <scheme val="minor"/>
      </rPr>
      <t>P2(T)</t>
    </r>
    <r>
      <rPr>
        <b/>
        <sz val="11"/>
        <color theme="1"/>
        <rFont val="Calibri"/>
        <family val="2"/>
        <scheme val="minor"/>
      </rPr>
      <t>)</t>
    </r>
  </si>
  <si>
    <r>
      <t>Equivalent Parallel Capacitance 2 @f</t>
    </r>
    <r>
      <rPr>
        <b/>
        <vertAlign val="subscript"/>
        <sz val="11"/>
        <color theme="1"/>
        <rFont val="Calibri"/>
        <family val="2"/>
        <scheme val="minor"/>
      </rPr>
      <t>T</t>
    </r>
    <r>
      <rPr>
        <b/>
        <sz val="11"/>
        <color theme="1"/>
        <rFont val="Calibri"/>
        <family val="2"/>
        <scheme val="minor"/>
      </rPr>
      <t xml:space="preserve"> (C</t>
    </r>
    <r>
      <rPr>
        <b/>
        <vertAlign val="subscript"/>
        <sz val="11"/>
        <color theme="1"/>
        <rFont val="Calibri"/>
        <family val="2"/>
        <scheme val="minor"/>
      </rPr>
      <t>P2(T)</t>
    </r>
    <r>
      <rPr>
        <b/>
        <sz val="11"/>
        <color theme="1"/>
        <rFont val="Calibri"/>
        <family val="2"/>
        <scheme val="minor"/>
      </rPr>
      <t>)</t>
    </r>
  </si>
  <si>
    <t>Quantity</t>
  </si>
  <si>
    <r>
      <t>Capacitor 1 Value (C</t>
    </r>
    <r>
      <rPr>
        <b/>
        <vertAlign val="subscript"/>
        <sz val="11"/>
        <color theme="1"/>
        <rFont val="Calibri"/>
        <family val="2"/>
        <scheme val="minor"/>
      </rPr>
      <t>1</t>
    </r>
    <r>
      <rPr>
        <b/>
        <sz val="11"/>
        <color theme="1"/>
        <rFont val="Calibri"/>
        <family val="2"/>
        <scheme val="minor"/>
      </rPr>
      <t>)</t>
    </r>
  </si>
  <si>
    <t>Capacitor 1 ESR</t>
  </si>
  <si>
    <t>Capacitor 1 ESL</t>
  </si>
  <si>
    <r>
      <t>Total Capacitance 1 (C</t>
    </r>
    <r>
      <rPr>
        <b/>
        <vertAlign val="subscript"/>
        <sz val="11"/>
        <color theme="1"/>
        <rFont val="Calibri"/>
        <family val="2"/>
        <scheme val="minor"/>
      </rPr>
      <t>(TOTAL, 1)</t>
    </r>
    <r>
      <rPr>
        <b/>
        <sz val="11"/>
        <color theme="1"/>
        <rFont val="Calibri"/>
        <family val="2"/>
        <scheme val="minor"/>
      </rPr>
      <t>)</t>
    </r>
  </si>
  <si>
    <t>Total  Capacitance 1 ESR</t>
  </si>
  <si>
    <t>Total Capacitance 1 ESL</t>
  </si>
  <si>
    <t>Capacitor 1 Resonance</t>
  </si>
  <si>
    <t>Z1</t>
  </si>
  <si>
    <t>ESR1</t>
  </si>
  <si>
    <t>XESL1</t>
  </si>
  <si>
    <t>XC1</t>
  </si>
  <si>
    <t>Capacitor 2 ESR</t>
  </si>
  <si>
    <t>Capacitor 2 ESL</t>
  </si>
  <si>
    <r>
      <t>Capacitor 2 Value (C</t>
    </r>
    <r>
      <rPr>
        <b/>
        <vertAlign val="subscript"/>
        <sz val="11"/>
        <color theme="1"/>
        <rFont val="Calibri"/>
        <family val="2"/>
        <scheme val="minor"/>
      </rPr>
      <t>2</t>
    </r>
    <r>
      <rPr>
        <b/>
        <sz val="11"/>
        <color theme="1"/>
        <rFont val="Calibri"/>
        <family val="2"/>
        <scheme val="minor"/>
      </rPr>
      <t>)</t>
    </r>
  </si>
  <si>
    <r>
      <t>Total Capacitance 2 (C</t>
    </r>
    <r>
      <rPr>
        <b/>
        <vertAlign val="subscript"/>
        <sz val="11"/>
        <color theme="1"/>
        <rFont val="Calibri"/>
        <family val="2"/>
        <scheme val="minor"/>
      </rPr>
      <t>(TOTAL, 2)</t>
    </r>
    <r>
      <rPr>
        <b/>
        <sz val="11"/>
        <color theme="1"/>
        <rFont val="Calibri"/>
        <family val="2"/>
        <scheme val="minor"/>
      </rPr>
      <t>)</t>
    </r>
  </si>
  <si>
    <t>Total  Capacitance 2 ESR</t>
  </si>
  <si>
    <t>Total Capacitance 2 ESL</t>
  </si>
  <si>
    <t>Capacitor 2 Resonance</t>
  </si>
  <si>
    <r>
      <t>Capacitor 3 Value (C</t>
    </r>
    <r>
      <rPr>
        <b/>
        <vertAlign val="subscript"/>
        <sz val="11"/>
        <color theme="1"/>
        <rFont val="Calibri"/>
        <family val="2"/>
        <scheme val="minor"/>
      </rPr>
      <t>3</t>
    </r>
    <r>
      <rPr>
        <b/>
        <sz val="11"/>
        <color theme="1"/>
        <rFont val="Calibri"/>
        <family val="2"/>
        <scheme val="minor"/>
      </rPr>
      <t>)</t>
    </r>
  </si>
  <si>
    <t>Capacitor 3 ESR</t>
  </si>
  <si>
    <t>Capacitor 3 ESL</t>
  </si>
  <si>
    <r>
      <t>Total Capacitance 3 (C</t>
    </r>
    <r>
      <rPr>
        <b/>
        <vertAlign val="subscript"/>
        <sz val="11"/>
        <color theme="1"/>
        <rFont val="Calibri"/>
        <family val="2"/>
        <scheme val="minor"/>
      </rPr>
      <t>(TOTAL, 3)</t>
    </r>
    <r>
      <rPr>
        <b/>
        <sz val="11"/>
        <color theme="1"/>
        <rFont val="Calibri"/>
        <family val="2"/>
        <scheme val="minor"/>
      </rPr>
      <t>)</t>
    </r>
  </si>
  <si>
    <t>Total  Capacitance 3 ESR</t>
  </si>
  <si>
    <t>Total Capacitance 3 ESL</t>
  </si>
  <si>
    <t>Capacitor 3 Resonance</t>
  </si>
  <si>
    <r>
      <t>Capacitor 4 Value (C</t>
    </r>
    <r>
      <rPr>
        <b/>
        <vertAlign val="subscript"/>
        <sz val="11"/>
        <color theme="1"/>
        <rFont val="Calibri"/>
        <family val="2"/>
        <scheme val="minor"/>
      </rPr>
      <t>4</t>
    </r>
    <r>
      <rPr>
        <b/>
        <sz val="11"/>
        <color theme="1"/>
        <rFont val="Calibri"/>
        <family val="2"/>
        <scheme val="minor"/>
      </rPr>
      <t>)</t>
    </r>
  </si>
  <si>
    <t>Capacitor 4 ESR</t>
  </si>
  <si>
    <t>Capacitor 4 ESL</t>
  </si>
  <si>
    <r>
      <t>Total Capacitance 4 (C</t>
    </r>
    <r>
      <rPr>
        <b/>
        <vertAlign val="subscript"/>
        <sz val="11"/>
        <color theme="1"/>
        <rFont val="Calibri"/>
        <family val="2"/>
        <scheme val="minor"/>
      </rPr>
      <t>(TOTAL, 4)</t>
    </r>
    <r>
      <rPr>
        <b/>
        <sz val="11"/>
        <color theme="1"/>
        <rFont val="Calibri"/>
        <family val="2"/>
        <scheme val="minor"/>
      </rPr>
      <t>)</t>
    </r>
  </si>
  <si>
    <t>Total  Capacitance 4 ESR</t>
  </si>
  <si>
    <t>Total Capacitance 4 ESL</t>
  </si>
  <si>
    <t>Capacitor 4 Resonance</t>
  </si>
  <si>
    <r>
      <t>Capacitor 5 Value (C</t>
    </r>
    <r>
      <rPr>
        <b/>
        <vertAlign val="subscript"/>
        <sz val="11"/>
        <color theme="1"/>
        <rFont val="Calibri"/>
        <family val="2"/>
        <scheme val="minor"/>
      </rPr>
      <t>5</t>
    </r>
    <r>
      <rPr>
        <b/>
        <sz val="11"/>
        <color theme="1"/>
        <rFont val="Calibri"/>
        <family val="2"/>
        <scheme val="minor"/>
      </rPr>
      <t>)</t>
    </r>
  </si>
  <si>
    <t>Capacitor 5 ESR</t>
  </si>
  <si>
    <t>Capacitor 5 ESL</t>
  </si>
  <si>
    <r>
      <t>Total Capacitance 5 (C</t>
    </r>
    <r>
      <rPr>
        <b/>
        <vertAlign val="subscript"/>
        <sz val="11"/>
        <color theme="1"/>
        <rFont val="Calibri"/>
        <family val="2"/>
        <scheme val="minor"/>
      </rPr>
      <t>(TOTAL, 5)</t>
    </r>
    <r>
      <rPr>
        <b/>
        <sz val="11"/>
        <color theme="1"/>
        <rFont val="Calibri"/>
        <family val="2"/>
        <scheme val="minor"/>
      </rPr>
      <t>)</t>
    </r>
  </si>
  <si>
    <t>Total  Capacitance 5 ESR</t>
  </si>
  <si>
    <t>Total Capacitance 5 ESL</t>
  </si>
  <si>
    <t>Capacitor 5 Resonance</t>
  </si>
  <si>
    <r>
      <t>Capacitor 6 Value (C</t>
    </r>
    <r>
      <rPr>
        <b/>
        <vertAlign val="subscript"/>
        <sz val="11"/>
        <color theme="1"/>
        <rFont val="Calibri"/>
        <family val="2"/>
        <scheme val="minor"/>
      </rPr>
      <t>6</t>
    </r>
    <r>
      <rPr>
        <b/>
        <sz val="11"/>
        <color theme="1"/>
        <rFont val="Calibri"/>
        <family val="2"/>
        <scheme val="minor"/>
      </rPr>
      <t>)</t>
    </r>
  </si>
  <si>
    <t>Capacitor 6 ESR</t>
  </si>
  <si>
    <t>Capacitor 6 ESL</t>
  </si>
  <si>
    <r>
      <t>Total Capacitance 6 (C</t>
    </r>
    <r>
      <rPr>
        <b/>
        <vertAlign val="subscript"/>
        <sz val="11"/>
        <color theme="1"/>
        <rFont val="Calibri"/>
        <family val="2"/>
        <scheme val="minor"/>
      </rPr>
      <t>(TOTAL, 6)</t>
    </r>
    <r>
      <rPr>
        <b/>
        <sz val="11"/>
        <color theme="1"/>
        <rFont val="Calibri"/>
        <family val="2"/>
        <scheme val="minor"/>
      </rPr>
      <t>)</t>
    </r>
  </si>
  <si>
    <t>Total  Capacitance 6 ESR</t>
  </si>
  <si>
    <t>Total Capacitance 6 ESL</t>
  </si>
  <si>
    <t>Capacitor 6 Resonance</t>
  </si>
  <si>
    <r>
      <t>Capacitor 7 Value (C</t>
    </r>
    <r>
      <rPr>
        <b/>
        <vertAlign val="subscript"/>
        <sz val="11"/>
        <color theme="1"/>
        <rFont val="Calibri"/>
        <family val="2"/>
        <scheme val="minor"/>
      </rPr>
      <t>7</t>
    </r>
    <r>
      <rPr>
        <b/>
        <sz val="11"/>
        <color theme="1"/>
        <rFont val="Calibri"/>
        <family val="2"/>
        <scheme val="minor"/>
      </rPr>
      <t>)</t>
    </r>
  </si>
  <si>
    <t>Capacitor 7 ESR</t>
  </si>
  <si>
    <t>Capacitor 7 ESL</t>
  </si>
  <si>
    <r>
      <t>Total Capacitance 7(C</t>
    </r>
    <r>
      <rPr>
        <b/>
        <vertAlign val="subscript"/>
        <sz val="11"/>
        <color theme="1"/>
        <rFont val="Calibri"/>
        <family val="2"/>
        <scheme val="minor"/>
      </rPr>
      <t>(TOTAL, 7</t>
    </r>
    <r>
      <rPr>
        <b/>
        <sz val="11"/>
        <color theme="1"/>
        <rFont val="Calibri"/>
        <family val="2"/>
        <scheme val="minor"/>
      </rPr>
      <t>)</t>
    </r>
  </si>
  <si>
    <t>Total  Capacitance 7 ESR</t>
  </si>
  <si>
    <t>Total Capacitance 7 ESL</t>
  </si>
  <si>
    <t>Capacitor 7 Resonance</t>
  </si>
  <si>
    <t>ESR2</t>
  </si>
  <si>
    <t>XESL2</t>
  </si>
  <si>
    <t>XC2</t>
  </si>
  <si>
    <t>Z2</t>
  </si>
  <si>
    <t>XC3</t>
  </si>
  <si>
    <t>XESL3</t>
  </si>
  <si>
    <t>ESR3</t>
  </si>
  <si>
    <t>Z3</t>
  </si>
  <si>
    <t>XC4</t>
  </si>
  <si>
    <t>XESL4</t>
  </si>
  <si>
    <t>ESR4</t>
  </si>
  <si>
    <t>Z4</t>
  </si>
  <si>
    <t>XC5</t>
  </si>
  <si>
    <t>XESL5</t>
  </si>
  <si>
    <t>ESR5</t>
  </si>
  <si>
    <t>Z5</t>
  </si>
  <si>
    <t>XC6</t>
  </si>
  <si>
    <t>XESL6</t>
  </si>
  <si>
    <t>ESR6</t>
  </si>
  <si>
    <t>Z6</t>
  </si>
  <si>
    <t>XC7</t>
  </si>
  <si>
    <t>XESL7</t>
  </si>
  <si>
    <t>ESR7</t>
  </si>
  <si>
    <t>Z7</t>
  </si>
  <si>
    <t>Tantalum, 5nH</t>
  </si>
  <si>
    <t>1206, 1.3nH</t>
  </si>
  <si>
    <t>805, 0.9nH</t>
  </si>
  <si>
    <t>603, 0.6nH</t>
  </si>
  <si>
    <t>402, 0.4nH</t>
  </si>
  <si>
    <t>201, 0.1nH</t>
  </si>
  <si>
    <r>
      <t>Capacitor 1 Reactance @f</t>
    </r>
    <r>
      <rPr>
        <b/>
        <vertAlign val="subscript"/>
        <sz val="11"/>
        <color theme="1"/>
        <rFont val="Calibri"/>
        <family val="2"/>
        <scheme val="minor"/>
      </rPr>
      <t>SW</t>
    </r>
    <r>
      <rPr>
        <b/>
        <sz val="11"/>
        <color theme="1"/>
        <rFont val="Calibri"/>
        <family val="2"/>
        <scheme val="minor"/>
      </rPr>
      <t xml:space="preserve"> (X</t>
    </r>
    <r>
      <rPr>
        <b/>
        <vertAlign val="subscript"/>
        <sz val="11"/>
        <color theme="1"/>
        <rFont val="Calibri"/>
        <family val="2"/>
        <scheme val="minor"/>
      </rPr>
      <t>C1(SW)</t>
    </r>
    <r>
      <rPr>
        <b/>
        <sz val="11"/>
        <color theme="1"/>
        <rFont val="Calibri"/>
        <family val="2"/>
        <scheme val="minor"/>
      </rPr>
      <t>)</t>
    </r>
  </si>
  <si>
    <r>
      <t>Capacitor 1 Reactance @f</t>
    </r>
    <r>
      <rPr>
        <b/>
        <vertAlign val="subscript"/>
        <sz val="11"/>
        <color theme="1"/>
        <rFont val="Calibri"/>
        <family val="2"/>
        <scheme val="minor"/>
      </rPr>
      <t>T</t>
    </r>
    <r>
      <rPr>
        <b/>
        <sz val="11"/>
        <color theme="1"/>
        <rFont val="Calibri"/>
        <family val="2"/>
        <scheme val="minor"/>
      </rPr>
      <t xml:space="preserve"> (X</t>
    </r>
    <r>
      <rPr>
        <b/>
        <vertAlign val="subscript"/>
        <sz val="11"/>
        <color theme="1"/>
        <rFont val="Calibri"/>
        <family val="2"/>
        <scheme val="minor"/>
      </rPr>
      <t>C1(T)</t>
    </r>
    <r>
      <rPr>
        <b/>
        <sz val="11"/>
        <color theme="1"/>
        <rFont val="Calibri"/>
        <family val="2"/>
        <scheme val="minor"/>
      </rPr>
      <t>)</t>
    </r>
  </si>
  <si>
    <r>
      <t>Capacitor 2 Reactance @f</t>
    </r>
    <r>
      <rPr>
        <b/>
        <vertAlign val="subscript"/>
        <sz val="11"/>
        <color theme="1"/>
        <rFont val="Calibri"/>
        <family val="2"/>
        <scheme val="minor"/>
      </rPr>
      <t>SW</t>
    </r>
    <r>
      <rPr>
        <b/>
        <sz val="11"/>
        <color theme="1"/>
        <rFont val="Calibri"/>
        <family val="2"/>
        <scheme val="minor"/>
      </rPr>
      <t xml:space="preserve"> (X</t>
    </r>
    <r>
      <rPr>
        <b/>
        <vertAlign val="subscript"/>
        <sz val="11"/>
        <color theme="1"/>
        <rFont val="Calibri"/>
        <family val="2"/>
        <scheme val="minor"/>
      </rPr>
      <t>C2(SW)</t>
    </r>
    <r>
      <rPr>
        <b/>
        <sz val="11"/>
        <color theme="1"/>
        <rFont val="Calibri"/>
        <family val="2"/>
        <scheme val="minor"/>
      </rPr>
      <t>)</t>
    </r>
  </si>
  <si>
    <r>
      <t>Equivalent Parallel Capacitance 2 @f</t>
    </r>
    <r>
      <rPr>
        <b/>
        <vertAlign val="subscript"/>
        <sz val="11"/>
        <color theme="1"/>
        <rFont val="Calibri"/>
        <family val="2"/>
        <scheme val="minor"/>
      </rPr>
      <t xml:space="preserve">SW </t>
    </r>
    <r>
      <rPr>
        <b/>
        <sz val="11"/>
        <color theme="1"/>
        <rFont val="Calibri"/>
        <family val="2"/>
        <scheme val="minor"/>
      </rPr>
      <t>(C</t>
    </r>
    <r>
      <rPr>
        <b/>
        <vertAlign val="subscript"/>
        <sz val="11"/>
        <color theme="1"/>
        <rFont val="Calibri"/>
        <family val="2"/>
        <scheme val="minor"/>
      </rPr>
      <t>P2(SW)</t>
    </r>
    <r>
      <rPr>
        <b/>
        <sz val="11"/>
        <color theme="1"/>
        <rFont val="Calibri"/>
        <family val="2"/>
        <scheme val="minor"/>
      </rPr>
      <t>)</t>
    </r>
  </si>
  <si>
    <r>
      <t>Capacitor 2 Reactance @f</t>
    </r>
    <r>
      <rPr>
        <b/>
        <vertAlign val="subscript"/>
        <sz val="11"/>
        <color theme="1"/>
        <rFont val="Calibri"/>
        <family val="2"/>
        <scheme val="minor"/>
      </rPr>
      <t>T</t>
    </r>
    <r>
      <rPr>
        <b/>
        <sz val="11"/>
        <color theme="1"/>
        <rFont val="Calibri"/>
        <family val="2"/>
        <scheme val="minor"/>
      </rPr>
      <t xml:space="preserve"> (X</t>
    </r>
    <r>
      <rPr>
        <b/>
        <vertAlign val="subscript"/>
        <sz val="11"/>
        <color theme="1"/>
        <rFont val="Calibri"/>
        <family val="2"/>
        <scheme val="minor"/>
      </rPr>
      <t>C2(T)</t>
    </r>
    <r>
      <rPr>
        <b/>
        <sz val="11"/>
        <color theme="1"/>
        <rFont val="Calibri"/>
        <family val="2"/>
        <scheme val="minor"/>
      </rPr>
      <t>)</t>
    </r>
  </si>
  <si>
    <r>
      <t>Capacitor 3 Reactance @f</t>
    </r>
    <r>
      <rPr>
        <b/>
        <vertAlign val="subscript"/>
        <sz val="11"/>
        <color theme="1"/>
        <rFont val="Calibri"/>
        <family val="2"/>
        <scheme val="minor"/>
      </rPr>
      <t>SW</t>
    </r>
    <r>
      <rPr>
        <b/>
        <sz val="11"/>
        <color theme="1"/>
        <rFont val="Calibri"/>
        <family val="2"/>
        <scheme val="minor"/>
      </rPr>
      <t xml:space="preserve"> (X</t>
    </r>
    <r>
      <rPr>
        <b/>
        <vertAlign val="subscript"/>
        <sz val="11"/>
        <color theme="1"/>
        <rFont val="Calibri"/>
        <family val="2"/>
        <scheme val="minor"/>
      </rPr>
      <t>C3(SW)</t>
    </r>
    <r>
      <rPr>
        <b/>
        <sz val="11"/>
        <color theme="1"/>
        <rFont val="Calibri"/>
        <family val="2"/>
        <scheme val="minor"/>
      </rPr>
      <t>)</t>
    </r>
  </si>
  <si>
    <r>
      <t>Equivalent Parallel Capacitance 3 @f</t>
    </r>
    <r>
      <rPr>
        <b/>
        <vertAlign val="subscript"/>
        <sz val="11"/>
        <color theme="1"/>
        <rFont val="Calibri"/>
        <family val="2"/>
        <scheme val="minor"/>
      </rPr>
      <t xml:space="preserve">SW </t>
    </r>
    <r>
      <rPr>
        <b/>
        <sz val="11"/>
        <color theme="1"/>
        <rFont val="Calibri"/>
        <family val="2"/>
        <scheme val="minor"/>
      </rPr>
      <t>(C</t>
    </r>
    <r>
      <rPr>
        <b/>
        <vertAlign val="subscript"/>
        <sz val="11"/>
        <color theme="1"/>
        <rFont val="Calibri"/>
        <family val="2"/>
        <scheme val="minor"/>
      </rPr>
      <t>P3(SW)</t>
    </r>
    <r>
      <rPr>
        <b/>
        <sz val="11"/>
        <color theme="1"/>
        <rFont val="Calibri"/>
        <family val="2"/>
        <scheme val="minor"/>
      </rPr>
      <t>)</t>
    </r>
  </si>
  <si>
    <r>
      <t>Equivalent Parallel ESR 3 @f</t>
    </r>
    <r>
      <rPr>
        <b/>
        <vertAlign val="subscript"/>
        <sz val="11"/>
        <color theme="1"/>
        <rFont val="Calibri"/>
        <family val="2"/>
        <scheme val="minor"/>
      </rPr>
      <t>SW</t>
    </r>
    <r>
      <rPr>
        <b/>
        <sz val="11"/>
        <color theme="1"/>
        <rFont val="Calibri"/>
        <family val="2"/>
        <scheme val="minor"/>
      </rPr>
      <t xml:space="preserve"> (ESR</t>
    </r>
    <r>
      <rPr>
        <b/>
        <vertAlign val="subscript"/>
        <sz val="11"/>
        <color theme="1"/>
        <rFont val="Calibri"/>
        <family val="2"/>
        <scheme val="minor"/>
      </rPr>
      <t>P3(SW)</t>
    </r>
    <r>
      <rPr>
        <b/>
        <sz val="11"/>
        <color theme="1"/>
        <rFont val="Calibri"/>
        <family val="2"/>
        <scheme val="minor"/>
      </rPr>
      <t>)</t>
    </r>
  </si>
  <si>
    <r>
      <t>Capacitor 3 Reactance @f</t>
    </r>
    <r>
      <rPr>
        <b/>
        <vertAlign val="subscript"/>
        <sz val="11"/>
        <color theme="1"/>
        <rFont val="Calibri"/>
        <family val="2"/>
        <scheme val="minor"/>
      </rPr>
      <t>T</t>
    </r>
    <r>
      <rPr>
        <b/>
        <sz val="11"/>
        <color theme="1"/>
        <rFont val="Calibri"/>
        <family val="2"/>
        <scheme val="minor"/>
      </rPr>
      <t xml:space="preserve"> (X</t>
    </r>
    <r>
      <rPr>
        <b/>
        <vertAlign val="subscript"/>
        <sz val="11"/>
        <color theme="1"/>
        <rFont val="Calibri"/>
        <family val="2"/>
        <scheme val="minor"/>
      </rPr>
      <t>C3(T)</t>
    </r>
    <r>
      <rPr>
        <b/>
        <sz val="11"/>
        <color theme="1"/>
        <rFont val="Calibri"/>
        <family val="2"/>
        <scheme val="minor"/>
      </rPr>
      <t>)</t>
    </r>
  </si>
  <si>
    <r>
      <t>Equivalent Parallel Capacitance 3 @f</t>
    </r>
    <r>
      <rPr>
        <b/>
        <vertAlign val="subscript"/>
        <sz val="11"/>
        <color theme="1"/>
        <rFont val="Calibri"/>
        <family val="2"/>
        <scheme val="minor"/>
      </rPr>
      <t>T</t>
    </r>
    <r>
      <rPr>
        <b/>
        <sz val="11"/>
        <color theme="1"/>
        <rFont val="Calibri"/>
        <family val="2"/>
        <scheme val="minor"/>
      </rPr>
      <t xml:space="preserve"> (C</t>
    </r>
    <r>
      <rPr>
        <b/>
        <vertAlign val="subscript"/>
        <sz val="11"/>
        <color theme="1"/>
        <rFont val="Calibri"/>
        <family val="2"/>
        <scheme val="minor"/>
      </rPr>
      <t>P3(T)</t>
    </r>
    <r>
      <rPr>
        <b/>
        <sz val="11"/>
        <color theme="1"/>
        <rFont val="Calibri"/>
        <family val="2"/>
        <scheme val="minor"/>
      </rPr>
      <t>)</t>
    </r>
  </si>
  <si>
    <r>
      <t>Total Equivalent Series Reactance @f</t>
    </r>
    <r>
      <rPr>
        <b/>
        <vertAlign val="subscript"/>
        <sz val="11"/>
        <color theme="1"/>
        <rFont val="Calibri"/>
        <family val="2"/>
        <scheme val="minor"/>
      </rPr>
      <t>SW</t>
    </r>
    <r>
      <rPr>
        <b/>
        <sz val="11"/>
        <color theme="1"/>
        <rFont val="Calibri"/>
        <family val="2"/>
        <scheme val="minor"/>
      </rPr>
      <t xml:space="preserve"> (X</t>
    </r>
    <r>
      <rPr>
        <b/>
        <vertAlign val="subscript"/>
        <sz val="11"/>
        <color theme="1"/>
        <rFont val="Calibri"/>
        <family val="2"/>
        <scheme val="minor"/>
      </rPr>
      <t>SE(SW)</t>
    </r>
    <r>
      <rPr>
        <b/>
        <sz val="11"/>
        <color theme="1"/>
        <rFont val="Calibri"/>
        <family val="2"/>
        <scheme val="minor"/>
      </rPr>
      <t>)</t>
    </r>
  </si>
  <si>
    <r>
      <t>Max ON Time (t</t>
    </r>
    <r>
      <rPr>
        <b/>
        <vertAlign val="subscript"/>
        <sz val="11"/>
        <color theme="1"/>
        <rFont val="Calibri"/>
        <family val="2"/>
        <scheme val="minor"/>
      </rPr>
      <t>ON</t>
    </r>
    <r>
      <rPr>
        <b/>
        <sz val="11"/>
        <color theme="1"/>
        <rFont val="Calibri"/>
        <family val="2"/>
        <scheme val="minor"/>
      </rPr>
      <t>)</t>
    </r>
  </si>
  <si>
    <r>
      <t>Max OFF Time (t</t>
    </r>
    <r>
      <rPr>
        <b/>
        <vertAlign val="subscript"/>
        <sz val="11"/>
        <color theme="1"/>
        <rFont val="Calibri"/>
        <family val="2"/>
        <scheme val="minor"/>
      </rPr>
      <t>OFF</t>
    </r>
    <r>
      <rPr>
        <b/>
        <sz val="11"/>
        <color theme="1"/>
        <rFont val="Calibri"/>
        <family val="2"/>
        <scheme val="minor"/>
      </rPr>
      <t>)</t>
    </r>
  </si>
  <si>
    <t>These cells are automatically copied from the Main tab for convenience</t>
  </si>
  <si>
    <r>
      <rPr>
        <b/>
        <sz val="11"/>
        <color theme="1"/>
        <rFont val="Calibri"/>
        <family val="2"/>
      </rPr>
      <t>Target Max ΔVINpp due to Input Ripple</t>
    </r>
    <r>
      <rPr>
        <b/>
        <sz val="11"/>
        <color theme="1"/>
        <rFont val="Calibri"/>
        <family val="2"/>
        <scheme val="minor"/>
      </rPr>
      <t xml:space="preserve"> (</t>
    </r>
    <r>
      <rPr>
        <b/>
        <sz val="11"/>
        <color theme="1"/>
        <rFont val="Calibri"/>
        <family val="2"/>
      </rPr>
      <t>ΔV</t>
    </r>
    <r>
      <rPr>
        <b/>
        <vertAlign val="subscript"/>
        <sz val="11"/>
        <color theme="1"/>
        <rFont val="Calibri"/>
        <family val="2"/>
      </rPr>
      <t>IN</t>
    </r>
    <r>
      <rPr>
        <b/>
        <vertAlign val="subscript"/>
        <sz val="11"/>
        <color theme="1"/>
        <rFont val="Calibri"/>
        <family val="2"/>
        <scheme val="minor"/>
      </rPr>
      <t>(TARGET, MAX, RIPPLE, PEAK-PEAK)</t>
    </r>
    <r>
      <rPr>
        <b/>
        <sz val="11"/>
        <color theme="1"/>
        <rFont val="Calibri"/>
        <family val="2"/>
        <scheme val="minor"/>
      </rPr>
      <t>)</t>
    </r>
  </si>
  <si>
    <r>
      <t>Target Max ΔVINpp due to Load Step (</t>
    </r>
    <r>
      <rPr>
        <b/>
        <sz val="11"/>
        <color theme="1"/>
        <rFont val="Calibri"/>
        <family val="2"/>
      </rPr>
      <t>ΔV</t>
    </r>
    <r>
      <rPr>
        <b/>
        <vertAlign val="subscript"/>
        <sz val="11"/>
        <color theme="1"/>
        <rFont val="Calibri"/>
        <family val="2"/>
      </rPr>
      <t>IN</t>
    </r>
    <r>
      <rPr>
        <b/>
        <vertAlign val="subscript"/>
        <sz val="11"/>
        <color theme="1"/>
        <rFont val="Calibri"/>
        <family val="2"/>
        <scheme val="minor"/>
      </rPr>
      <t>(TARGET, MAX, STEP, PEAK-PEAK)</t>
    </r>
    <r>
      <rPr>
        <b/>
        <sz val="11"/>
        <color theme="1"/>
        <rFont val="Calibri"/>
        <family val="2"/>
        <scheme val="minor"/>
      </rPr>
      <t>)</t>
    </r>
  </si>
  <si>
    <r>
      <t xml:space="preserve">Target Max </t>
    </r>
    <r>
      <rPr>
        <b/>
        <sz val="11"/>
        <color theme="1"/>
        <rFont val="Calibri"/>
        <family val="2"/>
      </rPr>
      <t>ΔVINpp due to FET transition (</t>
    </r>
    <r>
      <rPr>
        <b/>
        <sz val="11"/>
        <color theme="1"/>
        <rFont val="Calibri"/>
        <family val="2"/>
        <scheme val="minor"/>
      </rPr>
      <t>ΔV</t>
    </r>
    <r>
      <rPr>
        <b/>
        <vertAlign val="subscript"/>
        <sz val="11"/>
        <color theme="1"/>
        <rFont val="Calibri"/>
        <family val="2"/>
        <scheme val="minor"/>
      </rPr>
      <t>IN(TARGET, MAX, TRANSITION, PEAK-PEAK)</t>
    </r>
    <r>
      <rPr>
        <b/>
        <sz val="11"/>
        <color theme="1"/>
        <rFont val="Calibri"/>
        <family val="2"/>
        <scheme val="minor"/>
      </rPr>
      <t>)</t>
    </r>
  </si>
  <si>
    <r>
      <t xml:space="preserve">Total </t>
    </r>
    <r>
      <rPr>
        <b/>
        <sz val="11"/>
        <color theme="1"/>
        <rFont val="Calibri"/>
        <family val="2"/>
      </rPr>
      <t>Δ</t>
    </r>
    <r>
      <rPr>
        <b/>
        <sz val="12.65"/>
        <color theme="1"/>
        <rFont val="Calibri"/>
        <family val="2"/>
      </rPr>
      <t>VIN</t>
    </r>
    <r>
      <rPr>
        <b/>
        <vertAlign val="subscript"/>
        <sz val="12.65"/>
        <color theme="1"/>
        <rFont val="Calibri"/>
        <family val="2"/>
      </rPr>
      <t>RMS</t>
    </r>
    <r>
      <rPr>
        <b/>
        <sz val="11"/>
        <color theme="1"/>
        <rFont val="Calibri"/>
        <family val="2"/>
        <scheme val="minor"/>
      </rPr>
      <t xml:space="preserve"> Voltage @ f</t>
    </r>
    <r>
      <rPr>
        <b/>
        <vertAlign val="subscript"/>
        <sz val="11"/>
        <color theme="1"/>
        <rFont val="Calibri"/>
        <family val="2"/>
        <scheme val="minor"/>
      </rPr>
      <t>SW</t>
    </r>
    <r>
      <rPr>
        <b/>
        <sz val="11"/>
        <color theme="1"/>
        <rFont val="Calibri"/>
        <family val="2"/>
        <scheme val="minor"/>
      </rPr>
      <t xml:space="preserve"> (ΔV</t>
    </r>
    <r>
      <rPr>
        <b/>
        <vertAlign val="subscript"/>
        <sz val="11"/>
        <color theme="1"/>
        <rFont val="Calibri"/>
        <family val="2"/>
        <scheme val="minor"/>
      </rPr>
      <t>IN(RIPPLE, RMS, SW)</t>
    </r>
    <r>
      <rPr>
        <b/>
        <sz val="11"/>
        <color theme="1"/>
        <rFont val="Calibri"/>
        <family val="2"/>
        <scheme val="minor"/>
      </rPr>
      <t>)</t>
    </r>
  </si>
  <si>
    <r>
      <t xml:space="preserve">Total </t>
    </r>
    <r>
      <rPr>
        <b/>
        <sz val="11"/>
        <color theme="1"/>
        <rFont val="Calibri"/>
        <family val="2"/>
      </rPr>
      <t>ΔVIN</t>
    </r>
    <r>
      <rPr>
        <b/>
        <vertAlign val="subscript"/>
        <sz val="11"/>
        <color theme="1"/>
        <rFont val="Calibri"/>
        <family val="2"/>
      </rPr>
      <t>PP</t>
    </r>
    <r>
      <rPr>
        <b/>
        <sz val="11"/>
        <color theme="1"/>
        <rFont val="Calibri"/>
        <family val="2"/>
      </rPr>
      <t xml:space="preserve"> Ripple</t>
    </r>
    <r>
      <rPr>
        <b/>
        <sz val="11"/>
        <color theme="1"/>
        <rFont val="Calibri"/>
        <family val="2"/>
        <scheme val="minor"/>
      </rPr>
      <t xml:space="preserve"> @f</t>
    </r>
    <r>
      <rPr>
        <b/>
        <vertAlign val="subscript"/>
        <sz val="11"/>
        <color theme="1"/>
        <rFont val="Calibri"/>
        <family val="2"/>
        <scheme val="minor"/>
      </rPr>
      <t>SW</t>
    </r>
    <r>
      <rPr>
        <b/>
        <sz val="11"/>
        <color theme="1"/>
        <rFont val="Calibri"/>
        <family val="2"/>
        <scheme val="minor"/>
      </rPr>
      <t xml:space="preserve"> (</t>
    </r>
    <r>
      <rPr>
        <b/>
        <sz val="11"/>
        <color theme="1"/>
        <rFont val="Calibri"/>
        <family val="2"/>
      </rPr>
      <t>ΔV</t>
    </r>
    <r>
      <rPr>
        <b/>
        <vertAlign val="subscript"/>
        <sz val="11"/>
        <color theme="1"/>
        <rFont val="Calibri"/>
        <family val="2"/>
      </rPr>
      <t>IN</t>
    </r>
    <r>
      <rPr>
        <b/>
        <vertAlign val="subscript"/>
        <sz val="11"/>
        <color theme="1"/>
        <rFont val="Calibri"/>
        <family val="2"/>
        <scheme val="minor"/>
      </rPr>
      <t>(RIPPLE, PEAK-PEAK, SW)</t>
    </r>
    <r>
      <rPr>
        <b/>
        <sz val="11"/>
        <color theme="1"/>
        <rFont val="Calibri"/>
        <family val="2"/>
        <scheme val="minor"/>
      </rPr>
      <t>)</t>
    </r>
  </si>
  <si>
    <r>
      <t>Total ΔVIN</t>
    </r>
    <r>
      <rPr>
        <b/>
        <vertAlign val="subscript"/>
        <sz val="11"/>
        <color theme="1"/>
        <rFont val="Calibri"/>
        <family val="2"/>
        <scheme val="minor"/>
      </rPr>
      <t>PP</t>
    </r>
    <r>
      <rPr>
        <b/>
        <sz val="11"/>
        <color theme="1"/>
        <rFont val="Calibri"/>
        <family val="2"/>
        <scheme val="minor"/>
      </rPr>
      <t xml:space="preserve"> due to ESR @f</t>
    </r>
    <r>
      <rPr>
        <b/>
        <vertAlign val="subscript"/>
        <sz val="11"/>
        <color theme="1"/>
        <rFont val="Calibri"/>
        <family val="2"/>
        <scheme val="minor"/>
      </rPr>
      <t>SW</t>
    </r>
    <r>
      <rPr>
        <b/>
        <sz val="11"/>
        <color theme="1"/>
        <rFont val="Calibri"/>
        <family val="2"/>
        <scheme val="minor"/>
      </rPr>
      <t xml:space="preserve"> (</t>
    </r>
    <r>
      <rPr>
        <b/>
        <sz val="11"/>
        <color theme="1"/>
        <rFont val="Calibri"/>
        <family val="2"/>
      </rPr>
      <t>ΔV</t>
    </r>
    <r>
      <rPr>
        <b/>
        <vertAlign val="subscript"/>
        <sz val="11"/>
        <color theme="1"/>
        <rFont val="Calibri"/>
        <family val="2"/>
      </rPr>
      <t>IN</t>
    </r>
    <r>
      <rPr>
        <b/>
        <vertAlign val="subscript"/>
        <sz val="11"/>
        <color theme="1"/>
        <rFont val="Calibri"/>
        <family val="2"/>
        <scheme val="minor"/>
      </rPr>
      <t>(RIPPLE, PEAK-PEAK, ESR, SW)</t>
    </r>
    <r>
      <rPr>
        <b/>
        <sz val="11"/>
        <color theme="1"/>
        <rFont val="Calibri"/>
        <family val="2"/>
        <scheme val="minor"/>
      </rPr>
      <t>)</t>
    </r>
  </si>
  <si>
    <r>
      <t xml:space="preserve">Total </t>
    </r>
    <r>
      <rPr>
        <b/>
        <sz val="11"/>
        <color theme="1"/>
        <rFont val="Calibri"/>
        <family val="2"/>
      </rPr>
      <t>Δ</t>
    </r>
    <r>
      <rPr>
        <b/>
        <sz val="12.65"/>
        <color theme="1"/>
        <rFont val="Calibri"/>
        <family val="2"/>
      </rPr>
      <t>VIN</t>
    </r>
    <r>
      <rPr>
        <b/>
        <vertAlign val="subscript"/>
        <sz val="12.65"/>
        <color theme="1"/>
        <rFont val="Calibri"/>
        <family val="2"/>
      </rPr>
      <t>PP</t>
    </r>
    <r>
      <rPr>
        <b/>
        <sz val="11"/>
        <color theme="1"/>
        <rFont val="Calibri"/>
        <family val="2"/>
        <scheme val="minor"/>
      </rPr>
      <t xml:space="preserve"> due to Capacitance @f</t>
    </r>
    <r>
      <rPr>
        <b/>
        <vertAlign val="subscript"/>
        <sz val="11"/>
        <color theme="1"/>
        <rFont val="Calibri"/>
        <family val="2"/>
        <scheme val="minor"/>
      </rPr>
      <t>SW</t>
    </r>
    <r>
      <rPr>
        <b/>
        <sz val="11"/>
        <color theme="1"/>
        <rFont val="Calibri"/>
        <family val="2"/>
        <scheme val="minor"/>
      </rPr>
      <t xml:space="preserve"> (</t>
    </r>
    <r>
      <rPr>
        <b/>
        <sz val="11"/>
        <color theme="1"/>
        <rFont val="Calibri"/>
        <family val="2"/>
      </rPr>
      <t>ΔV</t>
    </r>
    <r>
      <rPr>
        <b/>
        <vertAlign val="subscript"/>
        <sz val="11"/>
        <color theme="1"/>
        <rFont val="Calibri"/>
        <family val="2"/>
      </rPr>
      <t>IN</t>
    </r>
    <r>
      <rPr>
        <b/>
        <vertAlign val="subscript"/>
        <sz val="11"/>
        <color theme="1"/>
        <rFont val="Calibri"/>
        <family val="2"/>
        <scheme val="minor"/>
      </rPr>
      <t>(RIPPLE, PEAK-PEAK, CAP, SW)</t>
    </r>
    <r>
      <rPr>
        <b/>
        <sz val="11"/>
        <color theme="1"/>
        <rFont val="Calibri"/>
        <family val="2"/>
        <scheme val="minor"/>
      </rPr>
      <t>)</t>
    </r>
  </si>
  <si>
    <r>
      <t>ΔVINpp due to Load Step (ΔV</t>
    </r>
    <r>
      <rPr>
        <b/>
        <vertAlign val="subscript"/>
        <sz val="11"/>
        <color theme="1"/>
        <rFont val="Calibri"/>
        <family val="2"/>
      </rPr>
      <t>IN(STEP, T)</t>
    </r>
    <r>
      <rPr>
        <b/>
        <sz val="11"/>
        <color theme="1"/>
        <rFont val="Calibri"/>
        <family val="2"/>
      </rPr>
      <t>)</t>
    </r>
  </si>
  <si>
    <r>
      <t>Capacitor 3 Reactance @f</t>
    </r>
    <r>
      <rPr>
        <b/>
        <vertAlign val="subscript"/>
        <sz val="11"/>
        <color theme="1"/>
        <rFont val="Calibri"/>
        <family val="2"/>
        <scheme val="minor"/>
      </rPr>
      <t>TRANSITION</t>
    </r>
    <r>
      <rPr>
        <b/>
        <sz val="11"/>
        <color theme="1"/>
        <rFont val="Calibri"/>
        <family val="2"/>
        <scheme val="minor"/>
      </rPr>
      <t xml:space="preserve"> (X</t>
    </r>
    <r>
      <rPr>
        <b/>
        <vertAlign val="subscript"/>
        <sz val="11"/>
        <color theme="1"/>
        <rFont val="Calibri"/>
        <family val="2"/>
        <scheme val="minor"/>
      </rPr>
      <t>S3(TRANSITION)</t>
    </r>
    <r>
      <rPr>
        <b/>
        <sz val="11"/>
        <color theme="1"/>
        <rFont val="Calibri"/>
        <family val="2"/>
        <scheme val="minor"/>
      </rPr>
      <t>)</t>
    </r>
  </si>
  <si>
    <r>
      <t>ESL 3 Reactance @f</t>
    </r>
    <r>
      <rPr>
        <b/>
        <vertAlign val="subscript"/>
        <sz val="11"/>
        <color theme="1"/>
        <rFont val="Calibri"/>
        <family val="2"/>
        <scheme val="minor"/>
      </rPr>
      <t>TRANSITION</t>
    </r>
    <r>
      <rPr>
        <b/>
        <sz val="11"/>
        <color theme="1"/>
        <rFont val="Calibri"/>
        <family val="2"/>
        <scheme val="minor"/>
      </rPr>
      <t xml:space="preserve"> (C</t>
    </r>
    <r>
      <rPr>
        <b/>
        <vertAlign val="subscript"/>
        <sz val="11"/>
        <color theme="1"/>
        <rFont val="Calibri"/>
        <family val="2"/>
        <scheme val="minor"/>
      </rPr>
      <t>P3(TRANSITION)</t>
    </r>
    <r>
      <rPr>
        <b/>
        <sz val="11"/>
        <color theme="1"/>
        <rFont val="Calibri"/>
        <family val="2"/>
        <scheme val="minor"/>
      </rPr>
      <t>)</t>
    </r>
  </si>
  <si>
    <r>
      <t>Total Equivalent Impedance @f</t>
    </r>
    <r>
      <rPr>
        <b/>
        <vertAlign val="subscript"/>
        <sz val="11"/>
        <color theme="1"/>
        <rFont val="Calibri"/>
        <family val="2"/>
        <scheme val="minor"/>
      </rPr>
      <t>TRANSITION</t>
    </r>
    <r>
      <rPr>
        <b/>
        <sz val="11"/>
        <color theme="1"/>
        <rFont val="Calibri"/>
        <family val="2"/>
        <scheme val="minor"/>
      </rPr>
      <t xml:space="preserve"> (Z</t>
    </r>
    <r>
      <rPr>
        <b/>
        <vertAlign val="subscript"/>
        <sz val="11"/>
        <color theme="1"/>
        <rFont val="Calibri"/>
        <family val="2"/>
        <scheme val="minor"/>
      </rPr>
      <t>3(TRANSITION)</t>
    </r>
    <r>
      <rPr>
        <b/>
        <sz val="11"/>
        <color theme="1"/>
        <rFont val="Calibri"/>
        <family val="2"/>
        <scheme val="minor"/>
      </rPr>
      <t>)</t>
    </r>
  </si>
  <si>
    <t>Number of Controllers</t>
  </si>
  <si>
    <t>Ω</t>
  </si>
  <si>
    <r>
      <t>Recommended Compensation Capacitor (C</t>
    </r>
    <r>
      <rPr>
        <b/>
        <vertAlign val="subscript"/>
        <sz val="11"/>
        <color theme="1"/>
        <rFont val="Calibri"/>
        <family val="2"/>
        <scheme val="minor"/>
      </rPr>
      <t>COMP</t>
    </r>
    <r>
      <rPr>
        <b/>
        <sz val="11"/>
        <color theme="1"/>
        <rFont val="Calibri"/>
        <family val="2"/>
        <scheme val="minor"/>
      </rPr>
      <t>)</t>
    </r>
  </si>
  <si>
    <r>
      <t>Recommended Inductor Value (L</t>
    </r>
    <r>
      <rPr>
        <b/>
        <vertAlign val="subscript"/>
        <sz val="11"/>
        <color theme="1"/>
        <rFont val="Calibri"/>
        <family val="2"/>
        <scheme val="minor"/>
      </rPr>
      <t>REC</t>
    </r>
    <r>
      <rPr>
        <b/>
        <sz val="11"/>
        <color theme="1"/>
        <rFont val="Calibri"/>
        <family val="2"/>
        <scheme val="minor"/>
      </rPr>
      <t>)</t>
    </r>
  </si>
  <si>
    <r>
      <t>Slope Resistor Problem? (25kΩ ≤ R</t>
    </r>
    <r>
      <rPr>
        <b/>
        <vertAlign val="subscript"/>
        <sz val="11"/>
        <color theme="1"/>
        <rFont val="Calibri"/>
        <family val="2"/>
        <scheme val="minor"/>
      </rPr>
      <t xml:space="preserve">SLOPE </t>
    </r>
    <r>
      <rPr>
        <b/>
        <sz val="11"/>
        <color theme="1"/>
        <rFont val="Calibri"/>
        <family val="2"/>
        <scheme val="minor"/>
      </rPr>
      <t>≤ 100kΩ)</t>
    </r>
  </si>
  <si>
    <r>
      <t xml:space="preserve">Switching Frequency Problem? (250kHz </t>
    </r>
    <r>
      <rPr>
        <b/>
        <sz val="11"/>
        <color theme="1"/>
        <rFont val="Calibri"/>
        <family val="2"/>
      </rPr>
      <t>≤ f</t>
    </r>
    <r>
      <rPr>
        <b/>
        <vertAlign val="subscript"/>
        <sz val="11"/>
        <color theme="1"/>
        <rFont val="Calibri"/>
        <family val="2"/>
      </rPr>
      <t>SW</t>
    </r>
    <r>
      <rPr>
        <b/>
        <sz val="11"/>
        <color theme="1"/>
        <rFont val="Calibri"/>
        <family val="2"/>
      </rPr>
      <t xml:space="preserve"> ≤ 1,500kHz)</t>
    </r>
  </si>
  <si>
    <r>
      <t>Recommended DROOP Resistance per Controller (R</t>
    </r>
    <r>
      <rPr>
        <b/>
        <vertAlign val="subscript"/>
        <sz val="11"/>
        <color theme="1"/>
        <rFont val="Calibri"/>
        <family val="2"/>
        <scheme val="minor"/>
      </rPr>
      <t>DROOP</t>
    </r>
    <r>
      <rPr>
        <b/>
        <sz val="11"/>
        <color theme="1"/>
        <rFont val="Calibri"/>
        <family val="2"/>
        <scheme val="minor"/>
      </rPr>
      <t>)</t>
    </r>
  </si>
  <si>
    <t xml:space="preserve">Use DROOP? </t>
  </si>
  <si>
    <r>
      <t>Recommended Compensation Resistor (R</t>
    </r>
    <r>
      <rPr>
        <b/>
        <vertAlign val="subscript"/>
        <sz val="11"/>
        <color theme="1"/>
        <rFont val="Calibri"/>
        <family val="2"/>
        <scheme val="minor"/>
      </rPr>
      <t>COMP</t>
    </r>
    <r>
      <rPr>
        <b/>
        <sz val="11"/>
        <color theme="1"/>
        <rFont val="Calibri"/>
        <family val="2"/>
        <scheme val="minor"/>
      </rPr>
      <t>)</t>
    </r>
  </si>
  <si>
    <r>
      <t>Recommended Soft-Start Capacitor (C</t>
    </r>
    <r>
      <rPr>
        <b/>
        <vertAlign val="subscript"/>
        <sz val="11"/>
        <color theme="1"/>
        <rFont val="Calibri"/>
        <family val="2"/>
        <scheme val="minor"/>
      </rPr>
      <t>SS</t>
    </r>
    <r>
      <rPr>
        <b/>
        <sz val="11"/>
        <color theme="1"/>
        <rFont val="Calibri"/>
        <family val="2"/>
        <scheme val="minor"/>
      </rPr>
      <t>)</t>
    </r>
  </si>
  <si>
    <t>ms</t>
  </si>
  <si>
    <r>
      <t>Recommended Current Sense Resistor (R</t>
    </r>
    <r>
      <rPr>
        <b/>
        <vertAlign val="subscript"/>
        <sz val="11"/>
        <color theme="1"/>
        <rFont val="Calibri"/>
        <family val="2"/>
        <scheme val="minor"/>
      </rPr>
      <t>SEN</t>
    </r>
    <r>
      <rPr>
        <b/>
        <sz val="11"/>
        <color theme="1"/>
        <rFont val="Calibri"/>
        <family val="2"/>
        <scheme val="minor"/>
      </rPr>
      <t>)</t>
    </r>
  </si>
  <si>
    <r>
      <t>Recommended Pole Capacitor (C</t>
    </r>
    <r>
      <rPr>
        <b/>
        <vertAlign val="subscript"/>
        <sz val="11"/>
        <color theme="1"/>
        <rFont val="Calibri"/>
        <family val="2"/>
        <scheme val="minor"/>
      </rPr>
      <t>POLE</t>
    </r>
    <r>
      <rPr>
        <b/>
        <sz val="11"/>
        <color theme="1"/>
        <rFont val="Calibri"/>
        <family val="2"/>
        <scheme val="minor"/>
      </rPr>
      <t>)</t>
    </r>
  </si>
  <si>
    <t>Date</t>
  </si>
  <si>
    <t>Revision</t>
  </si>
  <si>
    <t>Change</t>
  </si>
  <si>
    <t>1.Created a "Revision History" Tab to start documenting changes for customers. 2.Changed the gm(EA) from 3.57mA/V (typical) to 4mA/V (absolute max) so it agrees with our released boards.</t>
  </si>
  <si>
    <r>
      <t xml:space="preserve">This tool uses nominal design targets to calculate the schematic component values for the ISL73847SEH, ISL73847SLH and ISL73847M. The  numbers produced by this tool are a starting point for design with the expectation that the values will be adjusted to meet the final application requirements. It is the responsibility of the consumer to make sure that the values produced by this tool meets the requirements of their given application.
</t>
    </r>
    <r>
      <rPr>
        <b/>
        <sz val="8"/>
        <color theme="1"/>
        <rFont val="Calibri"/>
        <family val="2"/>
        <scheme val="minor"/>
      </rPr>
      <t>Software License Agreement</t>
    </r>
    <r>
      <rPr>
        <sz val="8"/>
        <color theme="1"/>
        <rFont val="Calibri"/>
        <family val="2"/>
        <scheme val="minor"/>
      </rPr>
      <t xml:space="preserve">
The software supplied herewith by  Renesas Electronics America Inc. (the "Company") is intended and supplied to you, the Company's customer, for use solely and exclusively on Renesas' Intersil family of products. The software is owned by the Company and/or its supplier, and is protected under applicable copyright laws. All rights are reserved. Any use in violation of the foregoing restrictions may subject the user to criminal sanctions under applicable laws, as well as to civil liability for the breach of the terms and conditions of this license.
THIS SOFTWARE IS PROVIDED IN AN "AS IS" CONDITION. NO WARRANTIES, WHETHER EXPRESS, IMPLIED OR STATUTORY, INCLUDING, BUT NOT LIMITED TO, IMPLIED WARRANTIES OF MERCHANTABILITY AND FITNESS FOR A PARTICULAR PURPOSE APPLY TO THIS SOFTWARE. THE COMPANY SHALL NOT, IN ANY CIRCUMSTANCES, BE LIABLE FOR SPECIAL, INCIDENTAL OR CONSEQUENTIAL DAMAGES, FOR ANY REASON WHATSOEVER.</t>
    </r>
  </si>
  <si>
    <r>
      <t>Max Output Current (I</t>
    </r>
    <r>
      <rPr>
        <b/>
        <vertAlign val="subscript"/>
        <sz val="11"/>
        <color theme="1"/>
        <rFont val="Calibri"/>
        <family val="2"/>
        <scheme val="minor"/>
      </rPr>
      <t>OUT(MAX)</t>
    </r>
    <r>
      <rPr>
        <b/>
        <sz val="11"/>
        <color theme="1"/>
        <rFont val="Calibri"/>
        <family val="2"/>
        <scheme val="minor"/>
      </rPr>
      <t>)</t>
    </r>
  </si>
  <si>
    <t>fOSC-0.5M</t>
  </si>
  <si>
    <t>kΩ</t>
  </si>
  <si>
    <t>fOSC-1M</t>
  </si>
  <si>
    <t>fOSC-2M</t>
  </si>
  <si>
    <t>fOSC-3M</t>
  </si>
  <si>
    <r>
      <t>Target Output Load Step (</t>
    </r>
    <r>
      <rPr>
        <b/>
        <sz val="11"/>
        <color theme="1"/>
        <rFont val="Calibri"/>
        <family val="2"/>
      </rPr>
      <t>ΔI</t>
    </r>
    <r>
      <rPr>
        <b/>
        <vertAlign val="subscript"/>
        <sz val="11"/>
        <color theme="1"/>
        <rFont val="Calibri"/>
        <family val="2"/>
      </rPr>
      <t>STEP</t>
    </r>
    <r>
      <rPr>
        <b/>
        <sz val="11"/>
        <color theme="1"/>
        <rFont val="Calibri"/>
        <family val="2"/>
        <scheme val="minor"/>
      </rPr>
      <t>)</t>
    </r>
  </si>
  <si>
    <r>
      <t>Bulk Capacitor ESR Equivalent (ESR</t>
    </r>
    <r>
      <rPr>
        <b/>
        <vertAlign val="subscript"/>
        <sz val="11"/>
        <color theme="1"/>
        <rFont val="Calibri"/>
        <family val="2"/>
        <scheme val="minor"/>
      </rPr>
      <t>TOTAL,MIN</t>
    </r>
    <r>
      <rPr>
        <b/>
        <sz val="11"/>
        <color theme="1"/>
        <rFont val="Calibri"/>
        <family val="2"/>
        <scheme val="minor"/>
      </rPr>
      <t>)</t>
    </r>
  </si>
  <si>
    <r>
      <t>Minimum Output Capacitance (C</t>
    </r>
    <r>
      <rPr>
        <b/>
        <vertAlign val="subscript"/>
        <sz val="11"/>
        <color theme="1"/>
        <rFont val="Calibri"/>
        <family val="2"/>
        <scheme val="minor"/>
      </rPr>
      <t>OUT(BULK,MIN)</t>
    </r>
    <r>
      <rPr>
        <b/>
        <sz val="11"/>
        <color theme="1"/>
        <rFont val="Calibri"/>
        <family val="2"/>
        <scheme val="minor"/>
      </rPr>
      <t>)</t>
    </r>
  </si>
  <si>
    <r>
      <t>Minimum Bulk Output Capacitance (C</t>
    </r>
    <r>
      <rPr>
        <b/>
        <vertAlign val="subscript"/>
        <sz val="11"/>
        <color theme="1"/>
        <rFont val="Calibri"/>
        <family val="2"/>
        <scheme val="minor"/>
      </rPr>
      <t>OUT(BULK, MIN)</t>
    </r>
    <r>
      <rPr>
        <b/>
        <sz val="11"/>
        <color theme="1"/>
        <rFont val="Calibri"/>
        <family val="2"/>
        <scheme val="minor"/>
      </rPr>
      <t>)</t>
    </r>
  </si>
  <si>
    <t>ZOUT(MIN)</t>
  </si>
  <si>
    <t>T530D227M010ATE006</t>
  </si>
  <si>
    <r>
      <t>Max Input Inductance (L</t>
    </r>
    <r>
      <rPr>
        <b/>
        <vertAlign val="subscript"/>
        <sz val="11"/>
        <color theme="1"/>
        <rFont val="Calibri"/>
        <family val="2"/>
        <scheme val="minor"/>
      </rPr>
      <t>Z(IN)</t>
    </r>
    <r>
      <rPr>
        <b/>
        <sz val="11"/>
        <color theme="1"/>
        <rFont val="Calibri"/>
        <family val="2"/>
        <scheme val="minor"/>
      </rPr>
      <t>)</t>
    </r>
  </si>
  <si>
    <r>
      <t>Max Total Input Ripple RMS Current per phase (I</t>
    </r>
    <r>
      <rPr>
        <b/>
        <vertAlign val="subscript"/>
        <sz val="11"/>
        <color theme="1"/>
        <rFont val="Calibri"/>
        <family val="2"/>
        <scheme val="minor"/>
      </rPr>
      <t>IN(RMS, MAX, PHASE)</t>
    </r>
    <r>
      <rPr>
        <b/>
        <sz val="11"/>
        <color theme="1"/>
        <rFont val="Calibri"/>
        <family val="2"/>
        <scheme val="minor"/>
      </rPr>
      <t>)</t>
    </r>
  </si>
  <si>
    <r>
      <t>Total Input Capacitance 1 per phase (C</t>
    </r>
    <r>
      <rPr>
        <b/>
        <vertAlign val="subscript"/>
        <sz val="11"/>
        <color theme="1"/>
        <rFont val="Calibri"/>
        <family val="2"/>
        <scheme val="minor"/>
      </rPr>
      <t>IN1(TOTAL,PHASE)</t>
    </r>
    <r>
      <rPr>
        <b/>
        <sz val="11"/>
        <color theme="1"/>
        <rFont val="Calibri"/>
        <family val="2"/>
        <scheme val="minor"/>
      </rPr>
      <t>)</t>
    </r>
  </si>
  <si>
    <r>
      <t>Total Input Capacitance 1 ESL per phase (ESL1(</t>
    </r>
    <r>
      <rPr>
        <b/>
        <vertAlign val="subscript"/>
        <sz val="11"/>
        <color theme="1"/>
        <rFont val="Calibri"/>
        <family val="2"/>
        <scheme val="minor"/>
      </rPr>
      <t>TOTAL,PHASE)</t>
    </r>
    <r>
      <rPr>
        <b/>
        <sz val="11"/>
        <color theme="1"/>
        <rFont val="Calibri"/>
        <family val="2"/>
        <scheme val="minor"/>
      </rPr>
      <t>)</t>
    </r>
  </si>
  <si>
    <r>
      <t>Total Input Capacitance 2 per phase (C</t>
    </r>
    <r>
      <rPr>
        <b/>
        <vertAlign val="subscript"/>
        <sz val="11"/>
        <color theme="1"/>
        <rFont val="Calibri"/>
        <family val="2"/>
        <scheme val="minor"/>
      </rPr>
      <t>IN2(TOTAL,PHASE)</t>
    </r>
    <r>
      <rPr>
        <b/>
        <sz val="11"/>
        <color theme="1"/>
        <rFont val="Calibri"/>
        <family val="2"/>
        <scheme val="minor"/>
      </rPr>
      <t>)</t>
    </r>
  </si>
  <si>
    <r>
      <t>Total Input Capacitance 2 ESR per phase (ESR2</t>
    </r>
    <r>
      <rPr>
        <b/>
        <vertAlign val="subscript"/>
        <sz val="11"/>
        <color theme="1"/>
        <rFont val="Calibri"/>
        <family val="2"/>
        <scheme val="minor"/>
      </rPr>
      <t>TOTAL,PHASE</t>
    </r>
    <r>
      <rPr>
        <b/>
        <sz val="11"/>
        <color theme="1"/>
        <rFont val="Calibri"/>
        <family val="2"/>
        <scheme val="minor"/>
      </rPr>
      <t>)</t>
    </r>
  </si>
  <si>
    <r>
      <t>Total Input Capacitance 2 ESL per phase (ESL2</t>
    </r>
    <r>
      <rPr>
        <b/>
        <vertAlign val="subscript"/>
        <sz val="11"/>
        <color theme="1"/>
        <rFont val="Calibri"/>
        <family val="2"/>
        <scheme val="minor"/>
      </rPr>
      <t>TOTAL,PHASE</t>
    </r>
    <r>
      <rPr>
        <b/>
        <sz val="11"/>
        <color theme="1"/>
        <rFont val="Calibri"/>
        <family val="2"/>
        <scheme val="minor"/>
      </rPr>
      <t>)</t>
    </r>
  </si>
  <si>
    <r>
      <t>Total Input Capacitance 3 per phase (C</t>
    </r>
    <r>
      <rPr>
        <b/>
        <vertAlign val="subscript"/>
        <sz val="11"/>
        <color theme="1"/>
        <rFont val="Calibri"/>
        <family val="2"/>
        <scheme val="minor"/>
      </rPr>
      <t>IN3(TOTAL,PHASE)</t>
    </r>
    <r>
      <rPr>
        <b/>
        <sz val="11"/>
        <color theme="1"/>
        <rFont val="Calibri"/>
        <family val="2"/>
        <scheme val="minor"/>
      </rPr>
      <t>)</t>
    </r>
  </si>
  <si>
    <r>
      <t>Total Input Capacitance 3 ESR per phase (ESR3(</t>
    </r>
    <r>
      <rPr>
        <b/>
        <vertAlign val="subscript"/>
        <sz val="11"/>
        <color theme="1"/>
        <rFont val="Calibri"/>
        <family val="2"/>
        <scheme val="minor"/>
      </rPr>
      <t>TOTAL,PHASE)</t>
    </r>
    <r>
      <rPr>
        <b/>
        <sz val="11"/>
        <color theme="1"/>
        <rFont val="Calibri"/>
        <family val="2"/>
        <scheme val="minor"/>
      </rPr>
      <t>)</t>
    </r>
  </si>
  <si>
    <r>
      <t>Total Input Capacitance 3 ESL per phase (ESL3(</t>
    </r>
    <r>
      <rPr>
        <b/>
        <vertAlign val="subscript"/>
        <sz val="11"/>
        <color theme="1"/>
        <rFont val="Calibri"/>
        <family val="2"/>
        <scheme val="minor"/>
      </rPr>
      <t>TOTAL,PHASE)</t>
    </r>
    <r>
      <rPr>
        <b/>
        <sz val="11"/>
        <color theme="1"/>
        <rFont val="Calibri"/>
        <family val="2"/>
        <scheme val="minor"/>
      </rPr>
      <t>)</t>
    </r>
  </si>
  <si>
    <r>
      <t>Minimum Input Capacitance for Input Ripple per phase (C</t>
    </r>
    <r>
      <rPr>
        <b/>
        <vertAlign val="subscript"/>
        <sz val="11"/>
        <color theme="1"/>
        <rFont val="Calibri"/>
        <family val="2"/>
        <scheme val="minor"/>
      </rPr>
      <t>IN(MIN, RIPPLE,PHASE)</t>
    </r>
    <r>
      <rPr>
        <b/>
        <sz val="11"/>
        <color theme="1"/>
        <rFont val="Calibri"/>
        <family val="2"/>
        <scheme val="minor"/>
      </rPr>
      <t>)</t>
    </r>
  </si>
  <si>
    <r>
      <t>Maximum ESR for Input Ripple per phase (ESR(</t>
    </r>
    <r>
      <rPr>
        <b/>
        <vertAlign val="subscript"/>
        <sz val="11"/>
        <color theme="1"/>
        <rFont val="Calibri"/>
        <family val="2"/>
        <scheme val="minor"/>
      </rPr>
      <t>MAX,RIPPLE,PHASE)</t>
    </r>
    <r>
      <rPr>
        <b/>
        <sz val="11"/>
        <color theme="1"/>
        <rFont val="Calibri"/>
        <family val="2"/>
        <scheme val="minor"/>
      </rPr>
      <t>)</t>
    </r>
  </si>
  <si>
    <r>
      <t>Maximum ESL for Input Ripple per phase (ESL(</t>
    </r>
    <r>
      <rPr>
        <b/>
        <vertAlign val="subscript"/>
        <sz val="11"/>
        <color theme="1"/>
        <rFont val="Calibri"/>
        <family val="2"/>
        <scheme val="minor"/>
      </rPr>
      <t>MAX,PHASE)</t>
    </r>
    <r>
      <rPr>
        <b/>
        <sz val="11"/>
        <color theme="1"/>
        <rFont val="Calibri"/>
        <family val="2"/>
        <scheme val="minor"/>
      </rPr>
      <t>)</t>
    </r>
  </si>
  <si>
    <r>
      <t>Bulk Input Impedance Bandwidth (f</t>
    </r>
    <r>
      <rPr>
        <b/>
        <vertAlign val="subscript"/>
        <sz val="11"/>
        <color theme="1"/>
        <rFont val="Calibri"/>
        <family val="2"/>
        <scheme val="minor"/>
      </rPr>
      <t>BW(STEP)</t>
    </r>
    <r>
      <rPr>
        <b/>
        <sz val="11"/>
        <color theme="1"/>
        <rFont val="Calibri"/>
        <family val="2"/>
        <scheme val="minor"/>
      </rPr>
      <t>)</t>
    </r>
  </si>
  <si>
    <r>
      <t>Minimum Bulk Input Capacitance for Load Step per phase (C</t>
    </r>
    <r>
      <rPr>
        <b/>
        <vertAlign val="subscript"/>
        <sz val="11"/>
        <color theme="1"/>
        <rFont val="Calibri"/>
        <family val="2"/>
        <scheme val="minor"/>
      </rPr>
      <t>IN(BULK, MIN,PHASE)</t>
    </r>
    <r>
      <rPr>
        <b/>
        <sz val="11"/>
        <color theme="1"/>
        <rFont val="Calibri"/>
        <family val="2"/>
        <scheme val="minor"/>
      </rPr>
      <t>)</t>
    </r>
  </si>
  <si>
    <r>
      <t>Target Ripple Input Impedance for CIN (Z</t>
    </r>
    <r>
      <rPr>
        <b/>
        <vertAlign val="subscript"/>
        <sz val="11"/>
        <color theme="1"/>
        <rFont val="Calibri"/>
        <family val="2"/>
        <scheme val="minor"/>
      </rPr>
      <t>IN(TARGET, RIPPLE, CIN)</t>
    </r>
    <r>
      <rPr>
        <b/>
        <sz val="11"/>
        <color theme="1"/>
        <rFont val="Calibri"/>
        <family val="2"/>
        <scheme val="minor"/>
      </rPr>
      <t>)</t>
    </r>
  </si>
  <si>
    <r>
      <t>Target Load Step Input Impedance (Z</t>
    </r>
    <r>
      <rPr>
        <b/>
        <vertAlign val="subscript"/>
        <sz val="11"/>
        <color theme="1"/>
        <rFont val="Calibri"/>
        <family val="2"/>
        <scheme val="minor"/>
      </rPr>
      <t>IN(TARGET, STEP)</t>
    </r>
    <r>
      <rPr>
        <b/>
        <sz val="11"/>
        <color theme="1"/>
        <rFont val="Calibri"/>
        <family val="2"/>
        <scheme val="minor"/>
      </rPr>
      <t>)</t>
    </r>
  </si>
  <si>
    <r>
      <t>Target FET Transition Input Impedance (Z</t>
    </r>
    <r>
      <rPr>
        <b/>
        <vertAlign val="subscript"/>
        <sz val="11"/>
        <color theme="1"/>
        <rFont val="Calibri"/>
        <family val="2"/>
        <scheme val="minor"/>
      </rPr>
      <t>IN(TARGET, TRANSITION)</t>
    </r>
    <r>
      <rPr>
        <b/>
        <sz val="11"/>
        <color theme="1"/>
        <rFont val="Calibri"/>
        <family val="2"/>
        <scheme val="minor"/>
      </rPr>
      <t>)</t>
    </r>
  </si>
  <si>
    <t>ZTARGET(CIN, RIPPLE)</t>
  </si>
  <si>
    <t>Z(TARGET, ESR, RIPPLE)</t>
  </si>
  <si>
    <t>Z(TARGET, STEP)</t>
  </si>
  <si>
    <t>Z(TARGET, TRANSITION)</t>
  </si>
  <si>
    <r>
      <t>XC1 (m</t>
    </r>
    <r>
      <rPr>
        <b/>
        <sz val="11"/>
        <color theme="1"/>
        <rFont val="Calibri"/>
        <family val="2"/>
      </rPr>
      <t>Ω)</t>
    </r>
  </si>
  <si>
    <r>
      <t>XESL1 (m</t>
    </r>
    <r>
      <rPr>
        <b/>
        <sz val="11"/>
        <color theme="1"/>
        <rFont val="Calibri"/>
        <family val="2"/>
      </rPr>
      <t>Ω)</t>
    </r>
  </si>
  <si>
    <r>
      <t>ESR1 (m</t>
    </r>
    <r>
      <rPr>
        <b/>
        <sz val="11"/>
        <color theme="1"/>
        <rFont val="Calibri"/>
        <family val="2"/>
      </rPr>
      <t>Ω)</t>
    </r>
  </si>
  <si>
    <t>Z1(TOTAL)</t>
  </si>
  <si>
    <t>XC2 (mΩ)</t>
  </si>
  <si>
    <t>XESL2 (mΩ)</t>
  </si>
  <si>
    <t>ESR2 (mΩ)</t>
  </si>
  <si>
    <t>Z2(TOTAL)</t>
  </si>
  <si>
    <t>XESL3 (mΩ)</t>
  </si>
  <si>
    <t>ESR3 (mΩ)</t>
  </si>
  <si>
    <t>Z3(TOTAL)</t>
  </si>
  <si>
    <t>fSW</t>
  </si>
  <si>
    <t>fTRANSITION</t>
  </si>
  <si>
    <t>ZOUT(TOTAL)</t>
  </si>
  <si>
    <t>ZIN(TOTAL)</t>
  </si>
  <si>
    <r>
      <t>Total Input Capacitance 1 ESR per phase (ESR1(</t>
    </r>
    <r>
      <rPr>
        <b/>
        <vertAlign val="subscript"/>
        <sz val="11"/>
        <color theme="1"/>
        <rFont val="Calibri"/>
        <family val="2"/>
        <scheme val="minor"/>
      </rPr>
      <t>TOTAL,PHASE)</t>
    </r>
    <r>
      <rPr>
        <b/>
        <sz val="11"/>
        <color theme="1"/>
        <rFont val="Calibri"/>
        <family val="2"/>
        <scheme val="minor"/>
      </rPr>
      <t>)</t>
    </r>
  </si>
  <si>
    <t>Maximum ESL for FET Transition (ESLMAX)</t>
  </si>
  <si>
    <t>Number of Phases (N)</t>
  </si>
  <si>
    <t>Duty Cycle (D)</t>
  </si>
  <si>
    <r>
      <t>Target ΔV</t>
    </r>
    <r>
      <rPr>
        <b/>
        <vertAlign val="subscript"/>
        <sz val="11"/>
        <color theme="1"/>
        <rFont val="Calibri"/>
        <family val="2"/>
        <scheme val="minor"/>
      </rPr>
      <t xml:space="preserve">OUT </t>
    </r>
    <r>
      <rPr>
        <b/>
        <sz val="11"/>
        <color theme="1"/>
        <rFont val="Calibri"/>
        <family val="2"/>
        <scheme val="minor"/>
      </rPr>
      <t>peak-peak Transient (</t>
    </r>
    <r>
      <rPr>
        <b/>
        <sz val="11"/>
        <color theme="1"/>
        <rFont val="Aptos Narrow"/>
        <family val="2"/>
      </rPr>
      <t>Δ</t>
    </r>
    <r>
      <rPr>
        <b/>
        <sz val="11"/>
        <color theme="1"/>
        <rFont val="Calibri"/>
        <family val="2"/>
      </rPr>
      <t>V</t>
    </r>
    <r>
      <rPr>
        <b/>
        <vertAlign val="subscript"/>
        <sz val="11"/>
        <color theme="1"/>
        <rFont val="Calibri"/>
        <family val="2"/>
      </rPr>
      <t>OUT(TRANSIENT)</t>
    </r>
    <r>
      <rPr>
        <b/>
        <sz val="11"/>
        <color theme="1"/>
        <rFont val="Calibri"/>
        <family val="2"/>
      </rPr>
      <t>)</t>
    </r>
  </si>
  <si>
    <r>
      <t>ΔV</t>
    </r>
    <r>
      <rPr>
        <b/>
        <vertAlign val="subscript"/>
        <sz val="11"/>
        <color theme="1"/>
        <rFont val="Calibri"/>
        <family val="2"/>
        <scheme val="minor"/>
      </rPr>
      <t>OUT</t>
    </r>
    <r>
      <rPr>
        <b/>
        <sz val="11"/>
        <color theme="1"/>
        <rFont val="Calibri"/>
        <family val="2"/>
        <scheme val="minor"/>
      </rPr>
      <t xml:space="preserve"> Transient Overshoot</t>
    </r>
  </si>
  <si>
    <r>
      <t>ΔV</t>
    </r>
    <r>
      <rPr>
        <b/>
        <vertAlign val="subscript"/>
        <sz val="11"/>
        <color theme="1"/>
        <rFont val="Calibri"/>
        <family val="2"/>
        <scheme val="minor"/>
      </rPr>
      <t>OUT</t>
    </r>
    <r>
      <rPr>
        <b/>
        <sz val="11"/>
        <color theme="1"/>
        <rFont val="Calibri"/>
        <family val="2"/>
        <scheme val="minor"/>
      </rPr>
      <t xml:space="preserve"> Transient Undershoot</t>
    </r>
  </si>
  <si>
    <t>RFS</t>
  </si>
  <si>
    <r>
      <t>Target DROOP at I</t>
    </r>
    <r>
      <rPr>
        <b/>
        <vertAlign val="subscript"/>
        <sz val="11"/>
        <color theme="1"/>
        <rFont val="Calibri"/>
        <family val="2"/>
        <scheme val="minor"/>
      </rPr>
      <t>STEP</t>
    </r>
    <r>
      <rPr>
        <b/>
        <sz val="11"/>
        <color theme="1"/>
        <rFont val="Calibri"/>
        <family val="2"/>
        <scheme val="minor"/>
      </rPr>
      <t xml:space="preserve"> (DRP</t>
    </r>
    <r>
      <rPr>
        <b/>
        <vertAlign val="subscript"/>
        <sz val="11"/>
        <color theme="1"/>
        <rFont val="Calibri"/>
        <family val="2"/>
        <scheme val="minor"/>
      </rPr>
      <t>percent</t>
    </r>
    <r>
      <rPr>
        <b/>
        <sz val="11"/>
        <color theme="1"/>
        <rFont val="Calibri"/>
        <family val="2"/>
        <scheme val="minor"/>
      </rPr>
      <t>@I</t>
    </r>
    <r>
      <rPr>
        <b/>
        <vertAlign val="subscript"/>
        <sz val="11"/>
        <color theme="1"/>
        <rFont val="Calibri"/>
        <family val="2"/>
        <scheme val="minor"/>
      </rPr>
      <t>STEP</t>
    </r>
    <r>
      <rPr>
        <b/>
        <sz val="11"/>
        <color theme="1"/>
        <rFont val="Calibri"/>
        <family val="2"/>
        <scheme val="minor"/>
      </rPr>
      <t>)</t>
    </r>
  </si>
  <si>
    <r>
      <t>DROOP at I</t>
    </r>
    <r>
      <rPr>
        <b/>
        <vertAlign val="subscript"/>
        <sz val="11"/>
        <color theme="1"/>
        <rFont val="Calibri"/>
        <family val="2"/>
        <scheme val="minor"/>
      </rPr>
      <t xml:space="preserve">OUT(MAX) </t>
    </r>
    <r>
      <rPr>
        <b/>
        <sz val="11"/>
        <color theme="1"/>
        <rFont val="Calibri"/>
        <family val="2"/>
        <scheme val="minor"/>
      </rPr>
      <t>(DRP</t>
    </r>
    <r>
      <rPr>
        <b/>
        <vertAlign val="subscript"/>
        <sz val="11"/>
        <color theme="1"/>
        <rFont val="Calibri"/>
        <family val="2"/>
        <scheme val="minor"/>
      </rPr>
      <t>percent</t>
    </r>
    <r>
      <rPr>
        <b/>
        <sz val="11"/>
        <color theme="1"/>
        <rFont val="Calibri"/>
        <family val="2"/>
        <scheme val="minor"/>
      </rPr>
      <t>@I</t>
    </r>
    <r>
      <rPr>
        <b/>
        <vertAlign val="subscript"/>
        <sz val="11"/>
        <color theme="1"/>
        <rFont val="Calibri"/>
        <family val="2"/>
        <scheme val="minor"/>
      </rPr>
      <t>OUT(MAX)</t>
    </r>
    <r>
      <rPr>
        <b/>
        <sz val="11"/>
        <color theme="1"/>
        <rFont val="Calibri"/>
        <family val="2"/>
        <scheme val="minor"/>
      </rPr>
      <t>)</t>
    </r>
  </si>
  <si>
    <r>
      <t>Selected Top Feedback Resistor (R</t>
    </r>
    <r>
      <rPr>
        <b/>
        <vertAlign val="subscript"/>
        <sz val="11"/>
        <color theme="1"/>
        <rFont val="Calibri"/>
        <family val="2"/>
        <scheme val="minor"/>
      </rPr>
      <t>FB(BOT)</t>
    </r>
    <r>
      <rPr>
        <b/>
        <sz val="11"/>
        <color theme="1"/>
        <rFont val="Calibri"/>
        <family val="2"/>
        <scheme val="minor"/>
      </rPr>
      <t>)</t>
    </r>
  </si>
  <si>
    <r>
      <t>Recommended Top Feedback Resistor (R</t>
    </r>
    <r>
      <rPr>
        <b/>
        <vertAlign val="subscript"/>
        <sz val="11"/>
        <color theme="1"/>
        <rFont val="Calibri"/>
        <family val="2"/>
        <scheme val="minor"/>
      </rPr>
      <t>FB(TOP)</t>
    </r>
    <r>
      <rPr>
        <b/>
        <sz val="11"/>
        <color theme="1"/>
        <rFont val="Calibri"/>
        <family val="2"/>
        <scheme val="minor"/>
      </rPr>
      <t>)</t>
    </r>
  </si>
  <si>
    <r>
      <t>Equivalent Load-Line Output Impedance (Z</t>
    </r>
    <r>
      <rPr>
        <b/>
        <vertAlign val="subscript"/>
        <sz val="11"/>
        <color theme="1"/>
        <rFont val="Calibri"/>
        <family val="2"/>
        <scheme val="minor"/>
      </rPr>
      <t>OUT(MIN)</t>
    </r>
    <r>
      <rPr>
        <b/>
        <sz val="11"/>
        <color theme="1"/>
        <rFont val="Calibri"/>
        <family val="2"/>
        <scheme val="minor"/>
      </rPr>
      <t>)</t>
    </r>
  </si>
  <si>
    <r>
      <t>Selected Output Capacitance (C</t>
    </r>
    <r>
      <rPr>
        <b/>
        <vertAlign val="subscript"/>
        <sz val="11"/>
        <color theme="1"/>
        <rFont val="Calibri"/>
        <family val="2"/>
        <scheme val="minor"/>
      </rPr>
      <t>OUT(BULK,MIN)</t>
    </r>
    <r>
      <rPr>
        <b/>
        <sz val="11"/>
        <color theme="1"/>
        <rFont val="Calibri"/>
        <family val="2"/>
        <scheme val="minor"/>
      </rPr>
      <t>)</t>
    </r>
  </si>
  <si>
    <r>
      <t>Bottom Output Feedback Resistor (R</t>
    </r>
    <r>
      <rPr>
        <b/>
        <vertAlign val="subscript"/>
        <sz val="11"/>
        <color theme="1"/>
        <rFont val="Calibri"/>
        <family val="2"/>
        <scheme val="minor"/>
      </rPr>
      <t>FB(BOT)</t>
    </r>
    <r>
      <rPr>
        <b/>
        <sz val="11"/>
        <color theme="1"/>
        <rFont val="Calibri"/>
        <family val="2"/>
        <scheme val="minor"/>
      </rPr>
      <t>)</t>
    </r>
  </si>
  <si>
    <t>RFB(BOT)</t>
  </si>
  <si>
    <t>RSEN</t>
  </si>
  <si>
    <t>LOUT</t>
  </si>
  <si>
    <t>RDROOP</t>
  </si>
  <si>
    <t>CDROOP</t>
  </si>
  <si>
    <t>RCOMP</t>
  </si>
  <si>
    <t>CPOLE</t>
  </si>
  <si>
    <t>CCOMP</t>
  </si>
  <si>
    <t>CSS</t>
  </si>
  <si>
    <t>Value</t>
  </si>
  <si>
    <t>COUT 1</t>
  </si>
  <si>
    <t>COUT 2</t>
  </si>
  <si>
    <t>COUT 3</t>
  </si>
  <si>
    <t>COUT 4</t>
  </si>
  <si>
    <t>COUT 5</t>
  </si>
  <si>
    <t>RFB(TOP)</t>
  </si>
  <si>
    <r>
      <t>C (</t>
    </r>
    <r>
      <rPr>
        <b/>
        <sz val="11"/>
        <color theme="1"/>
        <rFont val="Calibri"/>
        <family val="2"/>
      </rPr>
      <t>µF)</t>
    </r>
  </si>
  <si>
    <r>
      <t>Target In-Rush Current (I</t>
    </r>
    <r>
      <rPr>
        <b/>
        <vertAlign val="subscript"/>
        <sz val="11"/>
        <color theme="1"/>
        <rFont val="Calibri"/>
        <family val="2"/>
        <scheme val="minor"/>
      </rPr>
      <t>RUSH</t>
    </r>
    <r>
      <rPr>
        <b/>
        <sz val="11"/>
        <color theme="1"/>
        <rFont val="Calibri"/>
        <family val="2"/>
        <scheme val="minor"/>
      </rPr>
      <t>)</t>
    </r>
  </si>
  <si>
    <r>
      <t>RMS Ripple Current (A</t>
    </r>
    <r>
      <rPr>
        <b/>
        <vertAlign val="subscript"/>
        <sz val="11"/>
        <color theme="1"/>
        <rFont val="Calibri"/>
        <family val="2"/>
        <scheme val="minor"/>
      </rPr>
      <t>RMS</t>
    </r>
    <r>
      <rPr>
        <b/>
        <sz val="11"/>
        <color theme="1"/>
        <rFont val="Calibri"/>
        <family val="2"/>
        <scheme val="minor"/>
      </rPr>
      <t>)</t>
    </r>
  </si>
  <si>
    <t>CIN 1</t>
  </si>
  <si>
    <t>CIN 2</t>
  </si>
  <si>
    <t>CIN 3</t>
  </si>
  <si>
    <r>
      <t>Target Minimum Output Impedance (Z</t>
    </r>
    <r>
      <rPr>
        <b/>
        <vertAlign val="subscript"/>
        <sz val="11"/>
        <color theme="1"/>
        <rFont val="Calibri"/>
        <family val="2"/>
        <scheme val="minor"/>
      </rPr>
      <t>OUT(MIN)</t>
    </r>
    <r>
      <rPr>
        <b/>
        <sz val="11"/>
        <color theme="1"/>
        <rFont val="Calibri"/>
        <family val="2"/>
        <scheme val="minor"/>
      </rPr>
      <t>)</t>
    </r>
  </si>
  <si>
    <r>
      <t>Frequency of FET transition (f</t>
    </r>
    <r>
      <rPr>
        <b/>
        <vertAlign val="subscript"/>
        <sz val="11"/>
        <color theme="1"/>
        <rFont val="Calibri"/>
        <family val="2"/>
        <scheme val="minor"/>
      </rPr>
      <t>FET</t>
    </r>
    <r>
      <rPr>
        <b/>
        <sz val="11"/>
        <color theme="1"/>
        <rFont val="Calibri"/>
        <family val="2"/>
        <scheme val="minor"/>
      </rPr>
      <t>)</t>
    </r>
  </si>
  <si>
    <t>Input Spike due to FET transition</t>
  </si>
  <si>
    <t>Ignore if not using DROOP</t>
  </si>
  <si>
    <r>
      <t>IMON Transconductance (g</t>
    </r>
    <r>
      <rPr>
        <b/>
        <vertAlign val="subscript"/>
        <sz val="11"/>
        <color theme="1"/>
        <rFont val="Calibri"/>
        <family val="2"/>
        <scheme val="minor"/>
      </rPr>
      <t>m(CSA, IMON)</t>
    </r>
    <r>
      <rPr>
        <b/>
        <sz val="11"/>
        <color theme="1"/>
        <rFont val="Calibri"/>
        <family val="2"/>
        <scheme val="minor"/>
      </rPr>
      <t>)</t>
    </r>
  </si>
  <si>
    <t>µA/mV</t>
  </si>
  <si>
    <t>Over-Current Protection 1 Threshold per phase (OC1)</t>
  </si>
  <si>
    <r>
      <rPr>
        <sz val="11"/>
        <color theme="1"/>
        <rFont val="Aptos Narrow"/>
        <family val="2"/>
      </rPr>
      <t>µ</t>
    </r>
    <r>
      <rPr>
        <sz val="11"/>
        <color theme="1"/>
        <rFont val="Calibri"/>
        <family val="2"/>
      </rPr>
      <t>A</t>
    </r>
  </si>
  <si>
    <r>
      <t>DC Output Voltage at No-Load (V</t>
    </r>
    <r>
      <rPr>
        <b/>
        <vertAlign val="subscript"/>
        <sz val="11"/>
        <color theme="1"/>
        <rFont val="Calibri"/>
        <family val="2"/>
        <scheme val="minor"/>
      </rPr>
      <t>OUT</t>
    </r>
    <r>
      <rPr>
        <b/>
        <sz val="11"/>
        <color theme="1"/>
        <rFont val="Calibri"/>
        <family val="2"/>
        <scheme val="minor"/>
      </rPr>
      <t>@No-Load)</t>
    </r>
  </si>
  <si>
    <r>
      <t>Target IMON Voltage @ OC1 (V</t>
    </r>
    <r>
      <rPr>
        <b/>
        <vertAlign val="subscript"/>
        <sz val="11"/>
        <color theme="1"/>
        <rFont val="Calibri"/>
        <family val="2"/>
        <scheme val="minor"/>
      </rPr>
      <t>MON</t>
    </r>
    <r>
      <rPr>
        <b/>
        <sz val="11"/>
        <color theme="1"/>
        <rFont val="Calibri"/>
        <family val="2"/>
        <scheme val="minor"/>
      </rPr>
      <t>)</t>
    </r>
  </si>
  <si>
    <r>
      <t>IMON Current (I</t>
    </r>
    <r>
      <rPr>
        <b/>
        <vertAlign val="subscript"/>
        <sz val="11"/>
        <color theme="1"/>
        <rFont val="Calibri"/>
        <family val="2"/>
        <scheme val="minor"/>
      </rPr>
      <t>MON</t>
    </r>
    <r>
      <rPr>
        <b/>
        <sz val="11"/>
        <color theme="1"/>
        <rFont val="Calibri"/>
        <family val="2"/>
        <scheme val="minor"/>
      </rPr>
      <t>)</t>
    </r>
  </si>
  <si>
    <r>
      <t>IMON Resistor (R</t>
    </r>
    <r>
      <rPr>
        <b/>
        <vertAlign val="subscript"/>
        <sz val="11"/>
        <color theme="1"/>
        <rFont val="Calibri"/>
        <family val="2"/>
        <scheme val="minor"/>
      </rPr>
      <t>MON</t>
    </r>
    <r>
      <rPr>
        <b/>
        <sz val="11"/>
        <color theme="1"/>
        <rFont val="Calibri"/>
        <family val="2"/>
        <scheme val="minor"/>
      </rPr>
      <t>)</t>
    </r>
  </si>
  <si>
    <t>RMON</t>
  </si>
  <si>
    <r>
      <t>DC Output Voltage at I</t>
    </r>
    <r>
      <rPr>
        <b/>
        <vertAlign val="subscript"/>
        <sz val="11"/>
        <color theme="1"/>
        <rFont val="Calibri"/>
        <family val="2"/>
        <scheme val="minor"/>
      </rPr>
      <t>OUT(MAX)</t>
    </r>
    <r>
      <rPr>
        <b/>
        <sz val="11"/>
        <color theme="1"/>
        <rFont val="Calibri"/>
        <family val="2"/>
        <scheme val="minor"/>
      </rPr>
      <t xml:space="preserve"> (V</t>
    </r>
    <r>
      <rPr>
        <b/>
        <vertAlign val="subscript"/>
        <sz val="11"/>
        <color theme="1"/>
        <rFont val="Calibri"/>
        <family val="2"/>
        <scheme val="minor"/>
      </rPr>
      <t>OUT</t>
    </r>
    <r>
      <rPr>
        <b/>
        <sz val="11"/>
        <color theme="1"/>
        <rFont val="Calibri"/>
        <family val="2"/>
        <scheme val="minor"/>
      </rPr>
      <t>@I</t>
    </r>
    <r>
      <rPr>
        <b/>
        <vertAlign val="subscript"/>
        <sz val="11"/>
        <color theme="1"/>
        <rFont val="Calibri"/>
        <family val="2"/>
        <scheme val="minor"/>
      </rPr>
      <t>OUT(MAX)</t>
    </r>
    <r>
      <rPr>
        <b/>
        <sz val="11"/>
        <color theme="1"/>
        <rFont val="Calibri"/>
        <family val="2"/>
        <scheme val="minor"/>
      </rPr>
      <t>)</t>
    </r>
  </si>
  <si>
    <r>
      <t>DC Output Voltage at I</t>
    </r>
    <r>
      <rPr>
        <b/>
        <vertAlign val="subscript"/>
        <sz val="11"/>
        <color theme="1"/>
        <rFont val="Aptos Narrow"/>
        <family val="2"/>
      </rPr>
      <t>STEP</t>
    </r>
    <r>
      <rPr>
        <b/>
        <sz val="11"/>
        <color theme="1"/>
        <rFont val="Calibri"/>
        <family val="2"/>
        <scheme val="minor"/>
      </rPr>
      <t xml:space="preserve"> (V</t>
    </r>
    <r>
      <rPr>
        <b/>
        <vertAlign val="subscript"/>
        <sz val="11"/>
        <color theme="1"/>
        <rFont val="Calibri"/>
        <family val="2"/>
        <scheme val="minor"/>
      </rPr>
      <t>OUT</t>
    </r>
    <r>
      <rPr>
        <b/>
        <sz val="11"/>
        <color theme="1"/>
        <rFont val="Calibri"/>
        <family val="2"/>
        <scheme val="minor"/>
      </rPr>
      <t>@I</t>
    </r>
    <r>
      <rPr>
        <b/>
        <vertAlign val="subscript"/>
        <sz val="11"/>
        <color theme="1"/>
        <rFont val="Calibri"/>
        <family val="2"/>
        <scheme val="minor"/>
      </rPr>
      <t>STEP</t>
    </r>
    <r>
      <rPr>
        <b/>
        <sz val="11"/>
        <color theme="1"/>
        <rFont val="Calibri"/>
        <family val="2"/>
        <scheme val="minor"/>
      </rPr>
      <t>)</t>
    </r>
  </si>
  <si>
    <r>
      <t>Expected ΔV</t>
    </r>
    <r>
      <rPr>
        <b/>
        <vertAlign val="subscript"/>
        <sz val="11"/>
        <color theme="1"/>
        <rFont val="Calibri"/>
        <family val="2"/>
        <scheme val="minor"/>
      </rPr>
      <t>OUT</t>
    </r>
    <r>
      <rPr>
        <b/>
        <sz val="11"/>
        <color theme="1"/>
        <rFont val="Calibri"/>
        <family val="2"/>
        <scheme val="minor"/>
      </rPr>
      <t xml:space="preserve"> peak-peak Transient (ΔV</t>
    </r>
    <r>
      <rPr>
        <b/>
        <vertAlign val="subscript"/>
        <sz val="11"/>
        <color theme="1"/>
        <rFont val="Calibri"/>
        <family val="2"/>
        <scheme val="minor"/>
      </rPr>
      <t>OUT(TRANSIENT)</t>
    </r>
    <r>
      <rPr>
        <b/>
        <sz val="11"/>
        <color theme="1"/>
        <rFont val="Calibri"/>
        <family val="2"/>
        <scheme val="minor"/>
      </rPr>
      <t>)</t>
    </r>
  </si>
  <si>
    <t>1. Calculates OC1 in terms of current
2. Expand DROOP calculations to better help design-in DROOP
3. Removed SS based of desired start-up time.
4. Added RMON calculation for IMON.
5. Added IMON transconductance from the ISL73847 EC Table.
6. Organized the CIN and COUT Network Design Sheets so plot can be seen.
7. Corrected equations in the CIN Network Design Tool.
8. Changed the equation for CIN Bulk capacitor to be based off LC input filter.
9. Added BOM sheet to summarize all the components for a design.</t>
  </si>
  <si>
    <t>Units</t>
  </si>
  <si>
    <t>Error Log:</t>
  </si>
  <si>
    <r>
      <t>m</t>
    </r>
    <r>
      <rPr>
        <sz val="11"/>
        <color theme="1"/>
        <rFont val="Calibri"/>
        <family val="2"/>
      </rPr>
      <t>Ω</t>
    </r>
  </si>
  <si>
    <t>Total MF3 Capacitor ESL Reactance @fSW</t>
  </si>
  <si>
    <t>Total MF3 Capacitor Capacitive Reactance @fSW</t>
  </si>
  <si>
    <t>Total MF2 Capacitor ESL Reactance @fSW</t>
  </si>
  <si>
    <t>Total MF2 Capacitor Capacitive Reactance @fSW</t>
  </si>
  <si>
    <t>Total MF1 Capacitor Capacitive Reactance @fSW</t>
  </si>
  <si>
    <t>Total MF1 Capacitor ESL Reactance @fSW</t>
  </si>
  <si>
    <t>Total HF Capacitor Capacitive Reactance @fSW</t>
  </si>
  <si>
    <t>Total HF Capacitor ESL Reactance @fSW</t>
  </si>
  <si>
    <t>Total Bulk Capacitor Capacitive Reactance @fSW</t>
  </si>
  <si>
    <t>Total Bulk Capacitor ESL Reactance @fSW</t>
  </si>
  <si>
    <t>Total Bulk Capacitor Impedance @fSW</t>
  </si>
  <si>
    <t>Total HF Capacitor Impedance @fSW</t>
  </si>
  <si>
    <t>Total MF1 Capacitor Impedance @fSW</t>
  </si>
  <si>
    <t>Total MF2 Capacitor Impedance @fSW</t>
  </si>
  <si>
    <t>Total MF3 Capacitor Impedance @fSW</t>
  </si>
  <si>
    <r>
      <t>Z</t>
    </r>
    <r>
      <rPr>
        <b/>
        <vertAlign val="subscript"/>
        <sz val="11"/>
        <color theme="1"/>
        <rFont val="Calibri"/>
        <family val="2"/>
        <scheme val="minor"/>
      </rPr>
      <t>OUT(TOTAL</t>
    </r>
    <r>
      <rPr>
        <b/>
        <sz val="11"/>
        <color theme="1"/>
        <rFont val="Calibri"/>
        <family val="2"/>
        <scheme val="minor"/>
      </rPr>
      <t>) @ fSW</t>
    </r>
  </si>
  <si>
    <t>mΩ</t>
  </si>
  <si>
    <r>
      <t>ΔV</t>
    </r>
    <r>
      <rPr>
        <b/>
        <vertAlign val="subscript"/>
        <sz val="11"/>
        <color theme="1"/>
        <rFont val="Calibri"/>
        <family val="2"/>
      </rPr>
      <t>OUT(RIPPLE)</t>
    </r>
    <r>
      <rPr>
        <b/>
        <sz val="11"/>
        <color theme="1"/>
        <rFont val="Calibri"/>
        <family val="2"/>
      </rPr>
      <t xml:space="preserve"> @ fSW</t>
    </r>
  </si>
  <si>
    <r>
      <t>Selected Compensation Resistor (R</t>
    </r>
    <r>
      <rPr>
        <b/>
        <vertAlign val="subscript"/>
        <sz val="11"/>
        <color theme="1"/>
        <rFont val="Calibri"/>
        <family val="2"/>
        <scheme val="minor"/>
      </rPr>
      <t>COMP</t>
    </r>
    <r>
      <rPr>
        <b/>
        <sz val="11"/>
        <color theme="1"/>
        <rFont val="Calibri"/>
        <family val="2"/>
        <scheme val="minor"/>
      </rPr>
      <t>)</t>
    </r>
  </si>
  <si>
    <t>ISL73847x Design Tool (Rev 5.1)</t>
  </si>
  <si>
    <t>1. Added notes throughought document to better help user.
2. Added "Selected Compensation Resistor Cell" on Main Tab</t>
  </si>
  <si>
    <t>1. Changed default ESR for ceramic capacitors to 10mohms in the CIN and COUT Network Design sheets.
2. Changed default ESL for ceramic capacitors to 0.6nH in the CIN and COUT Network Design sheets.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</si>
</sst>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_(* \(#,##0.00\);_(* &quot;-&quot;??_);_(@_)"/>
    <numFmt numFmtId="164" formatCode="0.000"/>
    <numFmt numFmtId="165" formatCode="0.0000"/>
    <numFmt numFmtId="166" formatCode="0.000000"/>
    <numFmt numFmtId="167" formatCode="0.00000"/>
    <numFmt numFmtId="168" formatCode="0.0"/>
    <numFmt numFmtId="169" formatCode="0.0000000000"/>
    <numFmt numFmtId="170" formatCode="0.000000000000"/>
    <numFmt numFmtId="171" formatCode="#,##0.00000000"/>
    <numFmt numFmtId="172" formatCode="#,##0.0"/>
  </numFmts>
  <fonts count="19" x14ac:knownFonts="1">
    <font>
      <sz val="11"/>
      <color theme="1"/>
      <name val="Calibri"/>
      <family val="2"/>
      <scheme val="minor"/>
    </font>
    <font>
      <b/>
      <sz val="11"/>
      <color theme="1"/>
      <name val="Calibri"/>
      <family val="2"/>
      <scheme val="minor"/>
    </font>
    <font>
      <b/>
      <vertAlign val="subscript"/>
      <sz val="11"/>
      <color theme="1"/>
      <name val="Calibri"/>
      <family val="2"/>
      <scheme val="minor"/>
    </font>
    <font>
      <b/>
      <sz val="11"/>
      <color theme="1"/>
      <name val="Calibri"/>
      <family val="2"/>
    </font>
    <font>
      <b/>
      <vertAlign val="subscript"/>
      <sz val="11"/>
      <color theme="1"/>
      <name val="Calibri"/>
      <family val="2"/>
    </font>
    <font>
      <sz val="11"/>
      <color theme="1"/>
      <name val="Calibri"/>
      <family val="2"/>
    </font>
    <font>
      <sz val="8"/>
      <color theme="1"/>
      <name val="Calibri"/>
      <family val="2"/>
      <scheme val="minor"/>
    </font>
    <font>
      <b/>
      <sz val="8"/>
      <color theme="1"/>
      <name val="Calibri"/>
      <family val="2"/>
      <scheme val="minor"/>
    </font>
    <font>
      <b/>
      <sz val="7.7"/>
      <color theme="1"/>
      <name val="Calibri"/>
      <family val="2"/>
    </font>
    <font>
      <sz val="11"/>
      <color theme="1"/>
      <name val="Wingdings"/>
      <charset val="2"/>
    </font>
    <font>
      <sz val="11"/>
      <color rgb="FFFF0000"/>
      <name val="Calibri"/>
      <family val="2"/>
      <scheme val="minor"/>
    </font>
    <font>
      <b/>
      <sz val="12.65"/>
      <color theme="1"/>
      <name val="Calibri"/>
      <family val="2"/>
    </font>
    <font>
      <b/>
      <vertAlign val="subscript"/>
      <sz val="12.65"/>
      <color theme="1"/>
      <name val="Calibri"/>
      <family val="2"/>
    </font>
    <font>
      <sz val="11"/>
      <color theme="1"/>
      <name val="Calibri"/>
      <family val="2"/>
      <scheme val="minor"/>
    </font>
    <font>
      <sz val="11"/>
      <name val="Calibri"/>
      <family val="2"/>
      <scheme val="minor"/>
    </font>
    <font>
      <b/>
      <sz val="12"/>
      <color theme="1"/>
      <name val="Calibri"/>
      <family val="2"/>
      <scheme val="minor"/>
    </font>
    <font>
      <b/>
      <sz val="11"/>
      <color theme="1"/>
      <name val="Aptos Narrow"/>
      <family val="2"/>
    </font>
    <font>
      <sz val="11"/>
      <color theme="1"/>
      <name val="Aptos Narrow"/>
      <family val="2"/>
    </font>
    <font>
      <b/>
      <vertAlign val="subscript"/>
      <sz val="11"/>
      <color theme="1"/>
      <name val="Aptos Narrow"/>
      <family val="2"/>
    </font>
  </fonts>
  <fills count="11">
    <fill>
      <patternFill patternType="none"/>
    </fill>
    <fill>
      <patternFill patternType="gray125"/>
    </fill>
    <fill>
      <patternFill patternType="solid">
        <fgColor rgb="FFFFC0C0"/>
        <bgColor indexed="64"/>
      </patternFill>
    </fill>
    <fill>
      <patternFill patternType="solid">
        <fgColor rgb="FFFFFFC0"/>
        <bgColor indexed="64"/>
      </patternFill>
    </fill>
    <fill>
      <patternFill patternType="solid">
        <fgColor rgb="FFC0FFC0"/>
        <bgColor indexed="64"/>
      </patternFill>
    </fill>
    <fill>
      <patternFill patternType="solid">
        <fgColor rgb="FFC0FFFF"/>
        <bgColor indexed="64"/>
      </patternFill>
    </fill>
    <fill>
      <patternFill patternType="solid">
        <fgColor rgb="FFC0C0FF"/>
        <bgColor indexed="64"/>
      </patternFill>
    </fill>
    <fill>
      <patternFill patternType="solid">
        <fgColor rgb="FFFFC0FF"/>
        <bgColor indexed="64"/>
      </patternFill>
    </fill>
    <fill>
      <patternFill patternType="solid">
        <fgColor rgb="FFCCFFCC"/>
        <bgColor indexed="64"/>
      </patternFill>
    </fill>
    <fill>
      <patternFill patternType="solid">
        <fgColor rgb="FFFFFFCC"/>
        <bgColor indexed="64"/>
      </patternFill>
    </fill>
    <fill>
      <patternFill patternType="solid">
        <fgColor rgb="FFCCFFFF"/>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43" fontId="13" fillId="0" borderId="0" applyFont="0" applyFill="0" applyBorder="0" applyAlignment="0" applyProtection="0"/>
  </cellStyleXfs>
  <cellXfs count="97">
    <xf numFmtId="0" fontId="0" fillId="0" borderId="0" xfId="0"/>
    <xf numFmtId="0" fontId="1" fillId="0" borderId="0" xfId="0" applyFont="1"/>
    <xf numFmtId="0" fontId="1" fillId="0" borderId="1" xfId="0" applyFont="1" applyBorder="1"/>
    <xf numFmtId="0" fontId="0" fillId="0" borderId="1" xfId="0" applyBorder="1" applyAlignment="1">
      <alignment horizontal="left"/>
    </xf>
    <xf numFmtId="0" fontId="0" fillId="0" borderId="1" xfId="0" applyBorder="1"/>
    <xf numFmtId="0" fontId="0" fillId="0" borderId="0" xfId="0" applyAlignment="1">
      <alignment horizontal="center" vertical="center"/>
    </xf>
    <xf numFmtId="0" fontId="0" fillId="0" borderId="0" xfId="0" applyAlignment="1">
      <alignment horizontal="left"/>
    </xf>
    <xf numFmtId="0" fontId="0" fillId="0" borderId="0" xfId="0" applyAlignment="1">
      <alignment vertical="center"/>
    </xf>
    <xf numFmtId="0" fontId="0" fillId="0" borderId="0" xfId="0" applyAlignment="1" applyProtection="1">
      <alignment horizontal="center" vertical="center"/>
      <protection locked="0"/>
    </xf>
    <xf numFmtId="166" fontId="0" fillId="0" borderId="0" xfId="0" applyNumberFormat="1"/>
    <xf numFmtId="0" fontId="5" fillId="0" borderId="1" xfId="0" applyFont="1" applyBorder="1"/>
    <xf numFmtId="11" fontId="0" fillId="0" borderId="0" xfId="0" applyNumberFormat="1"/>
    <xf numFmtId="1" fontId="0" fillId="0" borderId="0" xfId="0" applyNumberFormat="1" applyAlignment="1" applyProtection="1">
      <alignment horizontal="center" vertical="center"/>
      <protection hidden="1"/>
    </xf>
    <xf numFmtId="3" fontId="0" fillId="0" borderId="0" xfId="0" applyNumberFormat="1" applyAlignment="1">
      <alignment horizontal="center"/>
    </xf>
    <xf numFmtId="0" fontId="1" fillId="0" borderId="0" xfId="0" applyFont="1" applyAlignment="1">
      <alignment horizontal="center"/>
    </xf>
    <xf numFmtId="0" fontId="0" fillId="0" borderId="0" xfId="0" applyAlignment="1">
      <alignment horizontal="center"/>
    </xf>
    <xf numFmtId="0" fontId="9" fillId="0" borderId="0" xfId="0" applyFont="1"/>
    <xf numFmtId="171" fontId="0" fillId="0" borderId="0" xfId="0" applyNumberFormat="1" applyAlignment="1">
      <alignment horizontal="center"/>
    </xf>
    <xf numFmtId="0" fontId="10" fillId="0" borderId="0" xfId="0" applyFont="1"/>
    <xf numFmtId="0" fontId="1" fillId="0" borderId="2" xfId="0" applyFont="1" applyBorder="1"/>
    <xf numFmtId="0" fontId="0" fillId="0" borderId="2" xfId="0" applyBorder="1" applyAlignment="1">
      <alignment horizontal="left"/>
    </xf>
    <xf numFmtId="0" fontId="3" fillId="0" borderId="1" xfId="0" applyFont="1" applyBorder="1"/>
    <xf numFmtId="3" fontId="0" fillId="0" borderId="1" xfId="0" applyNumberFormat="1" applyBorder="1" applyAlignment="1">
      <alignment horizontal="center"/>
    </xf>
    <xf numFmtId="0" fontId="0" fillId="0" borderId="1" xfId="0" applyBorder="1" applyAlignment="1">
      <alignment horizontal="center"/>
    </xf>
    <xf numFmtId="0" fontId="1" fillId="0" borderId="1" xfId="0" applyFont="1" applyBorder="1" applyAlignment="1">
      <alignment horizontal="center"/>
    </xf>
    <xf numFmtId="2" fontId="0" fillId="0" borderId="1" xfId="0" applyNumberFormat="1" applyBorder="1"/>
    <xf numFmtId="170" fontId="0" fillId="0" borderId="1" xfId="0" applyNumberFormat="1" applyBorder="1"/>
    <xf numFmtId="169" fontId="0" fillId="0" borderId="1" xfId="0" applyNumberFormat="1" applyBorder="1"/>
    <xf numFmtId="167" fontId="0" fillId="0" borderId="1" xfId="0" applyNumberFormat="1" applyBorder="1"/>
    <xf numFmtId="166" fontId="0" fillId="0" borderId="1" xfId="0" applyNumberFormat="1" applyBorder="1"/>
    <xf numFmtId="2" fontId="0" fillId="0" borderId="0" xfId="0" applyNumberFormat="1"/>
    <xf numFmtId="2" fontId="1" fillId="0" borderId="1" xfId="0" applyNumberFormat="1" applyFont="1" applyBorder="1" applyAlignment="1">
      <alignment horizontal="center"/>
    </xf>
    <xf numFmtId="11" fontId="1" fillId="0" borderId="1" xfId="0" applyNumberFormat="1" applyFont="1" applyBorder="1" applyAlignment="1">
      <alignment horizontal="center"/>
    </xf>
    <xf numFmtId="0" fontId="1" fillId="2"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1" fillId="6" borderId="1" xfId="0" applyFont="1" applyFill="1" applyBorder="1" applyAlignment="1">
      <alignment horizontal="center" vertical="center" wrapText="1"/>
    </xf>
    <xf numFmtId="0" fontId="1" fillId="7" borderId="1" xfId="0" applyFont="1" applyFill="1" applyBorder="1" applyAlignment="1">
      <alignment horizontal="center" vertical="center" wrapText="1"/>
    </xf>
    <xf numFmtId="0" fontId="1" fillId="0" borderId="0" xfId="0" applyFont="1" applyAlignment="1">
      <alignment horizontal="center" vertical="center" wrapText="1"/>
    </xf>
    <xf numFmtId="0" fontId="1" fillId="2" borderId="1" xfId="0" applyFont="1" applyFill="1" applyBorder="1" applyAlignment="1">
      <alignment vertical="center" wrapText="1"/>
    </xf>
    <xf numFmtId="0" fontId="1" fillId="3" borderId="1" xfId="0" applyFont="1" applyFill="1" applyBorder="1" applyAlignment="1">
      <alignment vertical="center" wrapText="1"/>
    </xf>
    <xf numFmtId="0" fontId="0" fillId="0" borderId="2" xfId="0" applyBorder="1"/>
    <xf numFmtId="0" fontId="0" fillId="9" borderId="1" xfId="0" applyFill="1" applyBorder="1" applyAlignment="1">
      <alignment horizontal="center"/>
    </xf>
    <xf numFmtId="3" fontId="0" fillId="0" borderId="2" xfId="0" applyNumberFormat="1" applyBorder="1" applyAlignment="1">
      <alignment horizontal="center"/>
    </xf>
    <xf numFmtId="0" fontId="14" fillId="10" borderId="1" xfId="0" applyFont="1" applyFill="1" applyBorder="1" applyAlignment="1">
      <alignment horizontal="center"/>
    </xf>
    <xf numFmtId="165" fontId="0" fillId="9" borderId="1" xfId="0" applyNumberFormat="1" applyFill="1" applyBorder="1" applyAlignment="1">
      <alignment horizontal="center"/>
    </xf>
    <xf numFmtId="164" fontId="0" fillId="9" borderId="1" xfId="0" applyNumberFormat="1" applyFill="1" applyBorder="1" applyAlignment="1">
      <alignment horizontal="center"/>
    </xf>
    <xf numFmtId="2" fontId="0" fillId="9" borderId="1" xfId="0" applyNumberFormat="1" applyFill="1" applyBorder="1" applyAlignment="1">
      <alignment horizontal="center"/>
    </xf>
    <xf numFmtId="164" fontId="14" fillId="10" borderId="1" xfId="0" applyNumberFormat="1" applyFont="1" applyFill="1" applyBorder="1" applyAlignment="1">
      <alignment horizontal="center"/>
    </xf>
    <xf numFmtId="2" fontId="14" fillId="10" borderId="1" xfId="0" applyNumberFormat="1" applyFont="1" applyFill="1" applyBorder="1" applyAlignment="1">
      <alignment horizontal="center"/>
    </xf>
    <xf numFmtId="2" fontId="0" fillId="9" borderId="1" xfId="1" applyNumberFormat="1" applyFont="1" applyFill="1" applyBorder="1" applyAlignment="1">
      <alignment horizontal="center"/>
    </xf>
    <xf numFmtId="168" fontId="0" fillId="9" borderId="1" xfId="0" applyNumberFormat="1" applyFill="1" applyBorder="1" applyAlignment="1">
      <alignment horizontal="center"/>
    </xf>
    <xf numFmtId="4" fontId="0" fillId="9" borderId="1" xfId="0" applyNumberFormat="1" applyFill="1" applyBorder="1" applyAlignment="1">
      <alignment horizontal="center"/>
    </xf>
    <xf numFmtId="4" fontId="14" fillId="10" borderId="1" xfId="0" applyNumberFormat="1" applyFont="1" applyFill="1" applyBorder="1" applyAlignment="1">
      <alignment horizontal="center"/>
    </xf>
    <xf numFmtId="0" fontId="0" fillId="8" borderId="1" xfId="0" applyFill="1" applyBorder="1" applyAlignment="1" applyProtection="1">
      <alignment horizontal="center"/>
      <protection locked="0"/>
    </xf>
    <xf numFmtId="3" fontId="0" fillId="8" borderId="1" xfId="0" applyNumberFormat="1" applyFill="1" applyBorder="1" applyAlignment="1" applyProtection="1">
      <alignment horizontal="center"/>
      <protection locked="0"/>
    </xf>
    <xf numFmtId="3" fontId="0" fillId="9" borderId="1" xfId="0" applyNumberFormat="1" applyFill="1" applyBorder="1" applyAlignment="1">
      <alignment horizontal="center"/>
    </xf>
    <xf numFmtId="168" fontId="0" fillId="8" borderId="1" xfId="0" applyNumberFormat="1" applyFill="1" applyBorder="1" applyAlignment="1" applyProtection="1">
      <alignment horizontal="center"/>
      <protection locked="0"/>
    </xf>
    <xf numFmtId="1" fontId="0" fillId="9" borderId="1" xfId="0" applyNumberFormat="1" applyFill="1" applyBorder="1" applyAlignment="1">
      <alignment horizontal="center"/>
    </xf>
    <xf numFmtId="3" fontId="14" fillId="10" borderId="1" xfId="0" applyNumberFormat="1" applyFont="1" applyFill="1" applyBorder="1" applyAlignment="1">
      <alignment horizontal="center"/>
    </xf>
    <xf numFmtId="172" fontId="0" fillId="9" borderId="1" xfId="0" applyNumberFormat="1" applyFill="1" applyBorder="1" applyAlignment="1">
      <alignment horizontal="center"/>
    </xf>
    <xf numFmtId="168" fontId="0" fillId="0" borderId="1" xfId="0" applyNumberFormat="1" applyBorder="1"/>
    <xf numFmtId="166" fontId="0" fillId="9" borderId="1" xfId="0" applyNumberFormat="1" applyFill="1" applyBorder="1" applyAlignment="1">
      <alignment horizontal="center"/>
    </xf>
    <xf numFmtId="0" fontId="6" fillId="0" borderId="0" xfId="0" applyFont="1" applyAlignment="1">
      <alignment vertical="center" wrapText="1"/>
    </xf>
    <xf numFmtId="0" fontId="15" fillId="0" borderId="0" xfId="0" applyFont="1"/>
    <xf numFmtId="2" fontId="0" fillId="0" borderId="1" xfId="0" applyNumberFormat="1" applyBorder="1" applyAlignment="1">
      <alignment horizontal="center"/>
    </xf>
    <xf numFmtId="0" fontId="14" fillId="0" borderId="0" xfId="0" applyFont="1" applyAlignment="1">
      <alignment horizontal="center"/>
    </xf>
    <xf numFmtId="0" fontId="6" fillId="0" borderId="0" xfId="0" applyFont="1" applyAlignment="1">
      <alignment horizontal="center" vertical="center" wrapText="1"/>
    </xf>
    <xf numFmtId="168" fontId="0" fillId="0" borderId="1" xfId="0" applyNumberFormat="1" applyBorder="1" applyAlignment="1">
      <alignment horizontal="center"/>
    </xf>
    <xf numFmtId="1" fontId="0" fillId="0" borderId="1" xfId="0" applyNumberFormat="1" applyBorder="1" applyAlignment="1">
      <alignment horizontal="center"/>
    </xf>
    <xf numFmtId="164" fontId="0" fillId="0" borderId="0" xfId="0" applyNumberFormat="1"/>
    <xf numFmtId="0" fontId="0" fillId="0" borderId="1" xfId="0" applyBorder="1" applyAlignment="1">
      <alignment vertical="center"/>
    </xf>
    <xf numFmtId="2" fontId="3" fillId="0" borderId="1" xfId="0" applyNumberFormat="1" applyFont="1" applyBorder="1"/>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wrapText="1"/>
    </xf>
    <xf numFmtId="0" fontId="15" fillId="0" borderId="0" xfId="0" applyFont="1"/>
    <xf numFmtId="0" fontId="15" fillId="0" borderId="0" xfId="0" applyFont="1" applyAlignment="1">
      <alignment horizontal="left"/>
    </xf>
    <xf numFmtId="0" fontId="6" fillId="0" borderId="0" xfId="0" applyFont="1" applyAlignment="1">
      <alignment horizontal="center" vertical="center" wrapText="1"/>
    </xf>
    <xf numFmtId="0" fontId="1" fillId="0" borderId="8"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Border="1" applyAlignment="1">
      <alignment horizontal="center" vertical="center"/>
    </xf>
    <xf numFmtId="0" fontId="0" fillId="0" borderId="3" xfId="0" applyBorder="1" applyAlignment="1">
      <alignment horizontal="center"/>
    </xf>
    <xf numFmtId="0" fontId="0" fillId="0" borderId="4" xfId="0" applyBorder="1" applyAlignment="1">
      <alignment horizontal="center"/>
    </xf>
    <xf numFmtId="0" fontId="0" fillId="0" borderId="0" xfId="0" applyAlignment="1">
      <alignment horizontal="center"/>
    </xf>
    <xf numFmtId="0" fontId="0" fillId="0" borderId="7" xfId="0"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1" fillId="4"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1" fillId="6"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0" fillId="0" borderId="1" xfId="0" applyBorder="1" applyAlignment="1">
      <alignment horizontal="left" vertical="top" wrapText="1"/>
    </xf>
    <xf numFmtId="0" fontId="0" fillId="0" borderId="1" xfId="0" applyBorder="1" applyAlignment="1">
      <alignment horizontal="center" vertical="center"/>
    </xf>
    <xf numFmtId="14" fontId="0" fillId="0" borderId="1" xfId="0" applyNumberFormat="1" applyBorder="1" applyAlignment="1">
      <alignment horizontal="center" vertical="center"/>
    </xf>
  </cellXfs>
  <cellStyles count="2">
    <cellStyle name="Comma" xfId="1" builtinId="3"/>
    <cellStyle name="Normal" xfId="0" builtinId="0"/>
  </cellStyles>
  <dxfs count="5">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CCFFFF"/>
      <color rgb="FFCCECFF"/>
      <color rgb="FFFFFFCC"/>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rgbClr val="000000"/>
                </a:solidFill>
                <a:latin typeface="Arial"/>
                <a:ea typeface="Arial"/>
                <a:cs typeface="Arial"/>
              </a:defRPr>
            </a:pPr>
            <a:r>
              <a:rPr lang="en-US" sz="1400" b="1"/>
              <a:t>Output Impedance vs Frequency</a:t>
            </a:r>
          </a:p>
        </c:rich>
      </c:tx>
      <c:overlay val="0"/>
      <c:spPr>
        <a:noFill/>
        <a:ln>
          <a:noFill/>
        </a:ln>
        <a:effectLst/>
      </c:spPr>
      <c:txPr>
        <a:bodyPr rot="0" spcFirstLastPara="1" vertOverflow="ellipsis" vert="horz" wrap="square" anchor="ctr" anchorCtr="1"/>
        <a:lstStyle/>
        <a:p>
          <a:pPr>
            <a:defRPr sz="1400" b="1" i="0" u="none" strike="noStrike" kern="1200" spc="0" baseline="0">
              <a:solidFill>
                <a:srgbClr val="000000"/>
              </a:solidFill>
              <a:latin typeface="Arial"/>
              <a:ea typeface="Arial"/>
              <a:cs typeface="Arial"/>
            </a:defRPr>
          </a:pPr>
          <a:endParaRPr lang="en-US"/>
        </a:p>
      </c:txPr>
    </c:title>
    <c:autoTitleDeleted val="0"/>
    <c:plotArea>
      <c:layout/>
      <c:scatterChart>
        <c:scatterStyle val="smoothMarker"/>
        <c:varyColors val="0"/>
        <c:ser>
          <c:idx val="0"/>
          <c:order val="0"/>
          <c:tx>
            <c:strRef>
              <c:f>'COUT Network Design'!$AA$28</c:f>
              <c:strCache>
                <c:ptCount val="1"/>
                <c:pt idx="0">
                  <c:v>ZOUT(TOTAL)</c:v>
                </c:pt>
              </c:strCache>
            </c:strRef>
          </c:tx>
          <c:spPr>
            <a:ln w="25400" cap="rnd">
              <a:solidFill>
                <a:schemeClr val="accent1"/>
              </a:solidFill>
              <a:round/>
            </a:ln>
            <a:effectLst/>
          </c:spPr>
          <c:marker>
            <c:symbol val="none"/>
          </c:marker>
          <c:xVal>
            <c:numRef>
              <c:f>'COUT Network Design'!$Z$29:$Z$182</c:f>
              <c:numCache>
                <c:formatCode>#,##0</c:formatCode>
                <c:ptCount val="154"/>
                <c:pt idx="0">
                  <c:v>1</c:v>
                </c:pt>
                <c:pt idx="1">
                  <c:v>2</c:v>
                </c:pt>
                <c:pt idx="2">
                  <c:v>3</c:v>
                </c:pt>
                <c:pt idx="3">
                  <c:v>4</c:v>
                </c:pt>
                <c:pt idx="4">
                  <c:v>5</c:v>
                </c:pt>
                <c:pt idx="5">
                  <c:v>6</c:v>
                </c:pt>
                <c:pt idx="6">
                  <c:v>7</c:v>
                </c:pt>
                <c:pt idx="7">
                  <c:v>8</c:v>
                </c:pt>
                <c:pt idx="8">
                  <c:v>9</c:v>
                </c:pt>
                <c:pt idx="9">
                  <c:v>10</c:v>
                </c:pt>
                <c:pt idx="10">
                  <c:v>15</c:v>
                </c:pt>
                <c:pt idx="11">
                  <c:v>20</c:v>
                </c:pt>
                <c:pt idx="12">
                  <c:v>25</c:v>
                </c:pt>
                <c:pt idx="13">
                  <c:v>30</c:v>
                </c:pt>
                <c:pt idx="14">
                  <c:v>35</c:v>
                </c:pt>
                <c:pt idx="15">
                  <c:v>40</c:v>
                </c:pt>
                <c:pt idx="16">
                  <c:v>45</c:v>
                </c:pt>
                <c:pt idx="17">
                  <c:v>50</c:v>
                </c:pt>
                <c:pt idx="18">
                  <c:v>55</c:v>
                </c:pt>
                <c:pt idx="19">
                  <c:v>60</c:v>
                </c:pt>
                <c:pt idx="20">
                  <c:v>65</c:v>
                </c:pt>
                <c:pt idx="21">
                  <c:v>70</c:v>
                </c:pt>
                <c:pt idx="22">
                  <c:v>75</c:v>
                </c:pt>
                <c:pt idx="23">
                  <c:v>80</c:v>
                </c:pt>
                <c:pt idx="24">
                  <c:v>85</c:v>
                </c:pt>
                <c:pt idx="25">
                  <c:v>90</c:v>
                </c:pt>
                <c:pt idx="26">
                  <c:v>95</c:v>
                </c:pt>
                <c:pt idx="27">
                  <c:v>100</c:v>
                </c:pt>
                <c:pt idx="28">
                  <c:v>150</c:v>
                </c:pt>
                <c:pt idx="29">
                  <c:v>200</c:v>
                </c:pt>
                <c:pt idx="30">
                  <c:v>250</c:v>
                </c:pt>
                <c:pt idx="31">
                  <c:v>300</c:v>
                </c:pt>
                <c:pt idx="32">
                  <c:v>350</c:v>
                </c:pt>
                <c:pt idx="33">
                  <c:v>400</c:v>
                </c:pt>
                <c:pt idx="34">
                  <c:v>450</c:v>
                </c:pt>
                <c:pt idx="35">
                  <c:v>500</c:v>
                </c:pt>
                <c:pt idx="36">
                  <c:v>550</c:v>
                </c:pt>
                <c:pt idx="37">
                  <c:v>600</c:v>
                </c:pt>
                <c:pt idx="38">
                  <c:v>650</c:v>
                </c:pt>
                <c:pt idx="39">
                  <c:v>700</c:v>
                </c:pt>
                <c:pt idx="40">
                  <c:v>750</c:v>
                </c:pt>
                <c:pt idx="41">
                  <c:v>800</c:v>
                </c:pt>
                <c:pt idx="42">
                  <c:v>850</c:v>
                </c:pt>
                <c:pt idx="43">
                  <c:v>900</c:v>
                </c:pt>
                <c:pt idx="44">
                  <c:v>950</c:v>
                </c:pt>
                <c:pt idx="45">
                  <c:v>1000</c:v>
                </c:pt>
                <c:pt idx="46">
                  <c:v>1500</c:v>
                </c:pt>
                <c:pt idx="47">
                  <c:v>2000</c:v>
                </c:pt>
                <c:pt idx="48">
                  <c:v>2500</c:v>
                </c:pt>
                <c:pt idx="49">
                  <c:v>3000</c:v>
                </c:pt>
                <c:pt idx="50">
                  <c:v>3500</c:v>
                </c:pt>
                <c:pt idx="51">
                  <c:v>4000</c:v>
                </c:pt>
                <c:pt idx="52">
                  <c:v>4500</c:v>
                </c:pt>
                <c:pt idx="53">
                  <c:v>5000</c:v>
                </c:pt>
                <c:pt idx="54">
                  <c:v>5500</c:v>
                </c:pt>
                <c:pt idx="55">
                  <c:v>6000</c:v>
                </c:pt>
                <c:pt idx="56">
                  <c:v>6500</c:v>
                </c:pt>
                <c:pt idx="57">
                  <c:v>7000</c:v>
                </c:pt>
                <c:pt idx="58">
                  <c:v>7500</c:v>
                </c:pt>
                <c:pt idx="59">
                  <c:v>8000</c:v>
                </c:pt>
                <c:pt idx="60">
                  <c:v>8500</c:v>
                </c:pt>
                <c:pt idx="61">
                  <c:v>9000</c:v>
                </c:pt>
                <c:pt idx="62">
                  <c:v>9500</c:v>
                </c:pt>
                <c:pt idx="63">
                  <c:v>10000</c:v>
                </c:pt>
                <c:pt idx="64">
                  <c:v>15000</c:v>
                </c:pt>
                <c:pt idx="65">
                  <c:v>20000</c:v>
                </c:pt>
                <c:pt idx="66">
                  <c:v>25000</c:v>
                </c:pt>
                <c:pt idx="67">
                  <c:v>30000</c:v>
                </c:pt>
                <c:pt idx="68">
                  <c:v>35000</c:v>
                </c:pt>
                <c:pt idx="69">
                  <c:v>40000</c:v>
                </c:pt>
                <c:pt idx="70">
                  <c:v>45000</c:v>
                </c:pt>
                <c:pt idx="71">
                  <c:v>50000</c:v>
                </c:pt>
                <c:pt idx="72">
                  <c:v>55000</c:v>
                </c:pt>
                <c:pt idx="73">
                  <c:v>60000</c:v>
                </c:pt>
                <c:pt idx="74">
                  <c:v>65000</c:v>
                </c:pt>
                <c:pt idx="75">
                  <c:v>70000</c:v>
                </c:pt>
                <c:pt idx="76">
                  <c:v>75000</c:v>
                </c:pt>
                <c:pt idx="77">
                  <c:v>80000</c:v>
                </c:pt>
                <c:pt idx="78">
                  <c:v>85000</c:v>
                </c:pt>
                <c:pt idx="79">
                  <c:v>90000</c:v>
                </c:pt>
                <c:pt idx="80">
                  <c:v>95000</c:v>
                </c:pt>
                <c:pt idx="81">
                  <c:v>100000</c:v>
                </c:pt>
                <c:pt idx="82">
                  <c:v>150000</c:v>
                </c:pt>
                <c:pt idx="83">
                  <c:v>200000</c:v>
                </c:pt>
                <c:pt idx="84">
                  <c:v>250000</c:v>
                </c:pt>
                <c:pt idx="85">
                  <c:v>300000</c:v>
                </c:pt>
                <c:pt idx="86">
                  <c:v>350000</c:v>
                </c:pt>
                <c:pt idx="87">
                  <c:v>400000</c:v>
                </c:pt>
                <c:pt idx="88">
                  <c:v>450000</c:v>
                </c:pt>
                <c:pt idx="89">
                  <c:v>500000</c:v>
                </c:pt>
                <c:pt idx="90">
                  <c:v>550000</c:v>
                </c:pt>
                <c:pt idx="91">
                  <c:v>600000</c:v>
                </c:pt>
                <c:pt idx="92">
                  <c:v>650000</c:v>
                </c:pt>
                <c:pt idx="93">
                  <c:v>700000</c:v>
                </c:pt>
                <c:pt idx="94">
                  <c:v>750000</c:v>
                </c:pt>
                <c:pt idx="95">
                  <c:v>800000</c:v>
                </c:pt>
                <c:pt idx="96">
                  <c:v>850000</c:v>
                </c:pt>
                <c:pt idx="97">
                  <c:v>900000</c:v>
                </c:pt>
                <c:pt idx="98">
                  <c:v>950000</c:v>
                </c:pt>
                <c:pt idx="99">
                  <c:v>1000000</c:v>
                </c:pt>
                <c:pt idx="100">
                  <c:v>1500000</c:v>
                </c:pt>
                <c:pt idx="101">
                  <c:v>2000000</c:v>
                </c:pt>
                <c:pt idx="102">
                  <c:v>2500000</c:v>
                </c:pt>
                <c:pt idx="103">
                  <c:v>3000000</c:v>
                </c:pt>
                <c:pt idx="104">
                  <c:v>3500000</c:v>
                </c:pt>
                <c:pt idx="105">
                  <c:v>4000000</c:v>
                </c:pt>
                <c:pt idx="106">
                  <c:v>4500000</c:v>
                </c:pt>
                <c:pt idx="107">
                  <c:v>5000000</c:v>
                </c:pt>
                <c:pt idx="108">
                  <c:v>5500000</c:v>
                </c:pt>
                <c:pt idx="109">
                  <c:v>6000000</c:v>
                </c:pt>
                <c:pt idx="110">
                  <c:v>6500000</c:v>
                </c:pt>
                <c:pt idx="111">
                  <c:v>7000000</c:v>
                </c:pt>
                <c:pt idx="112">
                  <c:v>7500000</c:v>
                </c:pt>
                <c:pt idx="113">
                  <c:v>8000000</c:v>
                </c:pt>
                <c:pt idx="114">
                  <c:v>8500000</c:v>
                </c:pt>
                <c:pt idx="115">
                  <c:v>9000000</c:v>
                </c:pt>
                <c:pt idx="116">
                  <c:v>9500000</c:v>
                </c:pt>
                <c:pt idx="117">
                  <c:v>10000000</c:v>
                </c:pt>
                <c:pt idx="118">
                  <c:v>15000000</c:v>
                </c:pt>
                <c:pt idx="119">
                  <c:v>20000000</c:v>
                </c:pt>
                <c:pt idx="120">
                  <c:v>25000000</c:v>
                </c:pt>
                <c:pt idx="121">
                  <c:v>30000000</c:v>
                </c:pt>
                <c:pt idx="122">
                  <c:v>35000000</c:v>
                </c:pt>
                <c:pt idx="123">
                  <c:v>40000000</c:v>
                </c:pt>
                <c:pt idx="124">
                  <c:v>45000000</c:v>
                </c:pt>
                <c:pt idx="125">
                  <c:v>50000000</c:v>
                </c:pt>
                <c:pt idx="126">
                  <c:v>55000000</c:v>
                </c:pt>
                <c:pt idx="127">
                  <c:v>60000000</c:v>
                </c:pt>
                <c:pt idx="128">
                  <c:v>65000000</c:v>
                </c:pt>
                <c:pt idx="129">
                  <c:v>70000000</c:v>
                </c:pt>
                <c:pt idx="130">
                  <c:v>75000000</c:v>
                </c:pt>
                <c:pt idx="131">
                  <c:v>80000000</c:v>
                </c:pt>
                <c:pt idx="132">
                  <c:v>85000000</c:v>
                </c:pt>
                <c:pt idx="133">
                  <c:v>90000000</c:v>
                </c:pt>
                <c:pt idx="134">
                  <c:v>95000000</c:v>
                </c:pt>
                <c:pt idx="135">
                  <c:v>100000000</c:v>
                </c:pt>
                <c:pt idx="136">
                  <c:v>150000000</c:v>
                </c:pt>
                <c:pt idx="137">
                  <c:v>200000000</c:v>
                </c:pt>
                <c:pt idx="138">
                  <c:v>250000000</c:v>
                </c:pt>
                <c:pt idx="139">
                  <c:v>300000000</c:v>
                </c:pt>
                <c:pt idx="140">
                  <c:v>350000000</c:v>
                </c:pt>
                <c:pt idx="141">
                  <c:v>400000000</c:v>
                </c:pt>
                <c:pt idx="142">
                  <c:v>450000000</c:v>
                </c:pt>
                <c:pt idx="143">
                  <c:v>500000000</c:v>
                </c:pt>
                <c:pt idx="144">
                  <c:v>550000000</c:v>
                </c:pt>
                <c:pt idx="145">
                  <c:v>600000000</c:v>
                </c:pt>
                <c:pt idx="146">
                  <c:v>650000000</c:v>
                </c:pt>
                <c:pt idx="147">
                  <c:v>700000000</c:v>
                </c:pt>
                <c:pt idx="148">
                  <c:v>750000000</c:v>
                </c:pt>
                <c:pt idx="149">
                  <c:v>800000000</c:v>
                </c:pt>
                <c:pt idx="150">
                  <c:v>850000000</c:v>
                </c:pt>
                <c:pt idx="151">
                  <c:v>900000000</c:v>
                </c:pt>
                <c:pt idx="152">
                  <c:v>950000000</c:v>
                </c:pt>
                <c:pt idx="153">
                  <c:v>1000000000</c:v>
                </c:pt>
              </c:numCache>
            </c:numRef>
          </c:xVal>
          <c:yVal>
            <c:numRef>
              <c:f>'COUT Network Design'!$AA$29:$AA$182</c:f>
              <c:numCache>
                <c:formatCode>General</c:formatCode>
                <c:ptCount val="154"/>
                <c:pt idx="0">
                  <c:v>29672.271520440921</c:v>
                </c:pt>
                <c:pt idx="1">
                  <c:v>14836.135759824694</c:v>
                </c:pt>
                <c:pt idx="2">
                  <c:v>9890.7571727767227</c:v>
                </c:pt>
                <c:pt idx="3">
                  <c:v>7418.0678791208165</c:v>
                </c:pt>
                <c:pt idx="4">
                  <c:v>5934.4543028217331</c:v>
                </c:pt>
                <c:pt idx="5">
                  <c:v>4945.3785852010642</c:v>
                </c:pt>
                <c:pt idx="6">
                  <c:v>4238.895929682345</c:v>
                </c:pt>
                <c:pt idx="7">
                  <c:v>3709.0339379773432</c:v>
                </c:pt>
                <c:pt idx="8">
                  <c:v>3296.9190554814895</c:v>
                </c:pt>
                <c:pt idx="9">
                  <c:v>2967.227149432038</c:v>
                </c:pt>
                <c:pt idx="10">
                  <c:v>1978.1514307559935</c:v>
                </c:pt>
                <c:pt idx="11">
                  <c:v>1483.6135707583612</c:v>
                </c:pt>
                <c:pt idx="12">
                  <c:v>1186.8908542320939</c:v>
                </c:pt>
                <c:pt idx="13">
                  <c:v>989.07570944151041</c:v>
                </c:pt>
                <c:pt idx="14">
                  <c:v>847.7791770713161</c:v>
                </c:pt>
                <c:pt idx="15">
                  <c:v>741.8067774638663</c:v>
                </c:pt>
                <c:pt idx="16">
                  <c:v>659.38379969824541</c:v>
                </c:pt>
                <c:pt idx="17">
                  <c:v>593.44541722190547</c:v>
                </c:pt>
                <c:pt idx="18">
                  <c:v>539.49583131958775</c:v>
                </c:pt>
                <c:pt idx="19">
                  <c:v>494.53784284778692</c:v>
                </c:pt>
                <c:pt idx="20">
                  <c:v>456.49646778407578</c:v>
                </c:pt>
                <c:pt idx="21">
                  <c:v>423.88957468386388</c:v>
                </c:pt>
                <c:pt idx="22">
                  <c:v>395.6302671544517</c:v>
                </c:pt>
                <c:pt idx="23">
                  <c:v>370.90337290131419</c:v>
                </c:pt>
                <c:pt idx="24">
                  <c:v>349.08552487569693</c:v>
                </c:pt>
                <c:pt idx="25">
                  <c:v>329.69188203968014</c:v>
                </c:pt>
                <c:pt idx="26">
                  <c:v>312.33967515280074</c:v>
                </c:pt>
                <c:pt idx="27">
                  <c:v>296.72268882268793</c:v>
                </c:pt>
                <c:pt idx="28">
                  <c:v>197.81510389487485</c:v>
                </c:pt>
                <c:pt idx="29">
                  <c:v>148.36130483496228</c:v>
                </c:pt>
                <c:pt idx="30">
                  <c:v>118.68902012226516</c:v>
                </c:pt>
                <c:pt idx="31">
                  <c:v>98.907492583234983</c:v>
                </c:pt>
                <c:pt idx="32">
                  <c:v>84.777826286362171</c:v>
                </c:pt>
                <c:pt idx="33">
                  <c:v>74.180573265901913</c:v>
                </c:pt>
                <c:pt idx="34">
                  <c:v>65.938262429782469</c:v>
                </c:pt>
                <c:pt idx="35">
                  <c:v>59.344411122768648</c:v>
                </c:pt>
                <c:pt idx="36">
                  <c:v>53.949439473354381</c:v>
                </c:pt>
                <c:pt idx="37">
                  <c:v>49.453627567208883</c:v>
                </c:pt>
                <c:pt idx="38">
                  <c:v>45.64947700210918</c:v>
                </c:pt>
                <c:pt idx="39">
                  <c:v>42.38877463361591</c:v>
                </c:pt>
                <c:pt idx="40">
                  <c:v>39.562830822478865</c:v>
                </c:pt>
                <c:pt idx="41">
                  <c:v>37.090128339265284</c:v>
                </c:pt>
                <c:pt idx="42">
                  <c:v>34.908330479119471</c:v>
                </c:pt>
                <c:pt idx="43">
                  <c:v>32.968953138269178</c:v>
                </c:pt>
                <c:pt idx="44">
                  <c:v>31.233719392687789</c:v>
                </c:pt>
                <c:pt idx="45">
                  <c:v>29.672007703158027</c:v>
                </c:pt>
                <c:pt idx="46">
                  <c:v>19.781118670154893</c:v>
                </c:pt>
                <c:pt idx="47">
                  <c:v>14.835608283144644</c:v>
                </c:pt>
                <c:pt idx="48">
                  <c:v>11.868249409797347</c:v>
                </c:pt>
                <c:pt idx="49">
                  <c:v>9.8899663525004033</c:v>
                </c:pt>
                <c:pt idx="50">
                  <c:v>8.4768695378496997</c:v>
                </c:pt>
                <c:pt idx="51">
                  <c:v>7.4170141890230941</c:v>
                </c:pt>
                <c:pt idx="52">
                  <c:v>6.5926532165721836</c:v>
                </c:pt>
                <c:pt idx="53">
                  <c:v>5.933138374739551</c:v>
                </c:pt>
                <c:pt idx="54">
                  <c:v>5.3935116961489209</c:v>
                </c:pt>
                <c:pt idx="55">
                  <c:v>4.9438012091506742</c:v>
                </c:pt>
                <c:pt idx="56">
                  <c:v>4.5632570933160173</c:v>
                </c:pt>
                <c:pt idx="57">
                  <c:v>4.2370580540054537</c:v>
                </c:pt>
                <c:pt idx="58">
                  <c:v>3.9543351471102026</c:v>
                </c:pt>
                <c:pt idx="59">
                  <c:v>3.7069366695159429</c:v>
                </c:pt>
                <c:pt idx="60">
                  <c:v>3.4886289705796352</c:v>
                </c:pt>
                <c:pt idx="61">
                  <c:v>3.2945636597810379</c:v>
                </c:pt>
                <c:pt idx="62">
                  <c:v>3.1209130645897938</c:v>
                </c:pt>
                <c:pt idx="63">
                  <c:v>2.9646150509726521</c:v>
                </c:pt>
                <c:pt idx="64">
                  <c:v>1.9742827680343895</c:v>
                </c:pt>
                <c:pt idx="65">
                  <c:v>1.4785479756657118</c:v>
                </c:pt>
                <c:pt idx="66">
                  <c:v>1.180708240159418</c:v>
                </c:pt>
                <c:pt idx="67">
                  <c:v>0.98187659237779179</c:v>
                </c:pt>
                <c:pt idx="68">
                  <c:v>0.83968504381737286</c:v>
                </c:pt>
                <c:pt idx="69">
                  <c:v>0.73296047670290831</c:v>
                </c:pt>
                <c:pt idx="70">
                  <c:v>0.64994992488898429</c:v>
                </c:pt>
                <c:pt idx="71">
                  <c:v>0.58361064279825903</c:v>
                </c:pt>
                <c:pt idx="72">
                  <c:v>0.52946915572915498</c:v>
                </c:pt>
                <c:pt idx="73">
                  <c:v>0.48455068400047308</c:v>
                </c:pt>
                <c:pt idx="74">
                  <c:v>0.446802549251753</c:v>
                </c:pt>
                <c:pt idx="75">
                  <c:v>0.41476453554244885</c:v>
                </c:pt>
                <c:pt idx="76">
                  <c:v>0.3873709260434679</c:v>
                </c:pt>
                <c:pt idx="77">
                  <c:v>0.36382657926184275</c:v>
                </c:pt>
                <c:pt idx="78">
                  <c:v>0.34352653901356572</c:v>
                </c:pt>
                <c:pt idx="79">
                  <c:v>0.32600224196698002</c:v>
                </c:pt>
                <c:pt idx="80">
                  <c:v>0.31088453272169841</c:v>
                </c:pt>
                <c:pt idx="81">
                  <c:v>0.29787762998660794</c:v>
                </c:pt>
                <c:pt idx="82">
                  <c:v>0.24520015474999154</c:v>
                </c:pt>
                <c:pt idx="83">
                  <c:v>0.26590552381329541</c:v>
                </c:pt>
                <c:pt idx="84">
                  <c:v>0.31107625407423301</c:v>
                </c:pt>
                <c:pt idx="85">
                  <c:v>0.36251749090957874</c:v>
                </c:pt>
                <c:pt idx="86">
                  <c:v>0.41395822133836474</c:v>
                </c:pt>
                <c:pt idx="87">
                  <c:v>0.4630482843535057</c:v>
                </c:pt>
                <c:pt idx="88">
                  <c:v>0.50879400489359661</c:v>
                </c:pt>
                <c:pt idx="89">
                  <c:v>0.55074702564162692</c:v>
                </c:pt>
                <c:pt idx="90">
                  <c:v>0.58872072042933876</c:v>
                </c:pt>
                <c:pt idx="91">
                  <c:v>0.62267687866760379</c:v>
                </c:pt>
                <c:pt idx="92">
                  <c:v>0.6526726786580348</c:v>
                </c:pt>
                <c:pt idx="93">
                  <c:v>0.67883112177346061</c:v>
                </c:pt>
                <c:pt idx="94">
                  <c:v>0.70132164184102441</c:v>
                </c:pt>
                <c:pt idx="95">
                  <c:v>0.72034581222640148</c:v>
                </c:pt>
                <c:pt idx="96">
                  <c:v>0.73612611403905026</c:v>
                </c:pt>
                <c:pt idx="97">
                  <c:v>0.74889689491944444</c:v>
                </c:pt>
                <c:pt idx="98">
                  <c:v>0.75889709616139656</c:v>
                </c:pt>
                <c:pt idx="99">
                  <c:v>0.76636449236993831</c:v>
                </c:pt>
                <c:pt idx="100">
                  <c:v>0.74716444989439368</c:v>
                </c:pt>
                <c:pt idx="101">
                  <c:v>0.65365182459224136</c:v>
                </c:pt>
                <c:pt idx="102">
                  <c:v>0.55071015524362799</c:v>
                </c:pt>
                <c:pt idx="103">
                  <c:v>0.45658507017707933</c:v>
                </c:pt>
                <c:pt idx="104">
                  <c:v>0.37458441955065508</c:v>
                </c:pt>
                <c:pt idx="105">
                  <c:v>0.30409407606159372</c:v>
                </c:pt>
                <c:pt idx="106">
                  <c:v>0.24401205753212205</c:v>
                </c:pt>
                <c:pt idx="107">
                  <c:v>0.19393468360775512</c:v>
                </c:pt>
                <c:pt idx="108">
                  <c:v>0.15483053186561901</c:v>
                </c:pt>
                <c:pt idx="109">
                  <c:v>0.12942278943233271</c:v>
                </c:pt>
                <c:pt idx="110">
                  <c:v>0.12079283875155303</c:v>
                </c:pt>
                <c:pt idx="111">
                  <c:v>0.12823219659179105</c:v>
                </c:pt>
                <c:pt idx="112">
                  <c:v>0.14645220284252877</c:v>
                </c:pt>
                <c:pt idx="113">
                  <c:v>0.1700287723988245</c:v>
                </c:pt>
                <c:pt idx="114">
                  <c:v>0.19564806018875247</c:v>
                </c:pt>
                <c:pt idx="115">
                  <c:v>0.22162429234700487</c:v>
                </c:pt>
                <c:pt idx="116">
                  <c:v>0.24713167080037887</c:v>
                </c:pt>
                <c:pt idx="117">
                  <c:v>0.27176114319240141</c:v>
                </c:pt>
                <c:pt idx="118">
                  <c:v>0.44953376385772198</c:v>
                </c:pt>
                <c:pt idx="119">
                  <c:v>0.4857574974276434</c:v>
                </c:pt>
                <c:pt idx="120">
                  <c:v>0.35437650085106559</c:v>
                </c:pt>
                <c:pt idx="121">
                  <c:v>0.11412269473057715</c:v>
                </c:pt>
                <c:pt idx="122">
                  <c:v>0.35282279475650319</c:v>
                </c:pt>
                <c:pt idx="123">
                  <c:v>0.56860059979159361</c:v>
                </c:pt>
                <c:pt idx="124">
                  <c:v>0.74599050702382019</c:v>
                </c:pt>
                <c:pt idx="125">
                  <c:v>0.90374102191462702</c:v>
                </c:pt>
                <c:pt idx="126">
                  <c:v>1.0501857664626757</c:v>
                </c:pt>
                <c:pt idx="127">
                  <c:v>1.1894901586429556</c:v>
                </c:pt>
                <c:pt idx="128">
                  <c:v>1.323969514036023</c:v>
                </c:pt>
                <c:pt idx="129">
                  <c:v>1.4550190154727058</c:v>
                </c:pt>
                <c:pt idx="130">
                  <c:v>1.5835331735300531</c:v>
                </c:pt>
                <c:pt idx="131">
                  <c:v>1.7101141584365629</c:v>
                </c:pt>
                <c:pt idx="132">
                  <c:v>1.8351835554628695</c:v>
                </c:pt>
                <c:pt idx="133">
                  <c:v>1.9590461665488379</c:v>
                </c:pt>
                <c:pt idx="134">
                  <c:v>2.0819283487459845</c:v>
                </c:pt>
                <c:pt idx="135">
                  <c:v>2.2040020583027538</c:v>
                </c:pt>
                <c:pt idx="136">
                  <c:v>3.3997832574627762</c:v>
                </c:pt>
                <c:pt idx="137">
                  <c:v>4.5754770343625539</c:v>
                </c:pt>
                <c:pt idx="138">
                  <c:v>5.7436159029942164</c:v>
                </c:pt>
                <c:pt idx="139">
                  <c:v>6.9080713042134336</c:v>
                </c:pt>
                <c:pt idx="140">
                  <c:v>8.0704489154479635</c:v>
                </c:pt>
                <c:pt idx="141">
                  <c:v>9.23153768997261</c:v>
                </c:pt>
                <c:pt idx="142">
                  <c:v>10.391771367915016</c:v>
                </c:pt>
                <c:pt idx="143">
                  <c:v>11.551408427036733</c:v>
                </c:pt>
                <c:pt idx="144">
                  <c:v>12.710612583893409</c:v>
                </c:pt>
                <c:pt idx="145">
                  <c:v>13.869492615719462</c:v>
                </c:pt>
                <c:pt idx="146">
                  <c:v>15.028123641392774</c:v>
                </c:pt>
                <c:pt idx="147">
                  <c:v>16.186559214614586</c:v>
                </c:pt>
                <c:pt idx="148">
                  <c:v>17.344838549355302</c:v>
                </c:pt>
                <c:pt idx="149">
                  <c:v>18.502991021032958</c:v>
                </c:pt>
                <c:pt idx="150">
                  <c:v>19.661039071511695</c:v>
                </c:pt>
                <c:pt idx="151">
                  <c:v>20.819000141729454</c:v>
                </c:pt>
                <c:pt idx="152">
                  <c:v>21.976887991765167</c:v>
                </c:pt>
                <c:pt idx="153">
                  <c:v>23.134713623577809</c:v>
                </c:pt>
              </c:numCache>
            </c:numRef>
          </c:yVal>
          <c:smooth val="1"/>
          <c:extLst>
            <c:ext xmlns:c16="http://schemas.microsoft.com/office/drawing/2014/chart" uri="{C3380CC4-5D6E-409C-BE32-E72D297353CC}">
              <c16:uniqueId val="{00000000-2F3B-4CCE-BBDD-AC13E4060BB3}"/>
            </c:ext>
          </c:extLst>
        </c:ser>
        <c:ser>
          <c:idx val="1"/>
          <c:order val="1"/>
          <c:tx>
            <c:strRef>
              <c:f>'COUT Network Design'!$AG$28</c:f>
              <c:strCache>
                <c:ptCount val="1"/>
                <c:pt idx="0">
                  <c:v>Z(BULK)</c:v>
                </c:pt>
              </c:strCache>
            </c:strRef>
          </c:tx>
          <c:spPr>
            <a:ln w="25400" cap="rnd">
              <a:solidFill>
                <a:schemeClr val="accent2"/>
              </a:solidFill>
              <a:round/>
            </a:ln>
            <a:effectLst/>
          </c:spPr>
          <c:marker>
            <c:symbol val="none"/>
          </c:marker>
          <c:xVal>
            <c:numRef>
              <c:f>'COUT Network Design'!$Z$29:$Z$182</c:f>
              <c:numCache>
                <c:formatCode>#,##0</c:formatCode>
                <c:ptCount val="154"/>
                <c:pt idx="0">
                  <c:v>1</c:v>
                </c:pt>
                <c:pt idx="1">
                  <c:v>2</c:v>
                </c:pt>
                <c:pt idx="2">
                  <c:v>3</c:v>
                </c:pt>
                <c:pt idx="3">
                  <c:v>4</c:v>
                </c:pt>
                <c:pt idx="4">
                  <c:v>5</c:v>
                </c:pt>
                <c:pt idx="5">
                  <c:v>6</c:v>
                </c:pt>
                <c:pt idx="6">
                  <c:v>7</c:v>
                </c:pt>
                <c:pt idx="7">
                  <c:v>8</c:v>
                </c:pt>
                <c:pt idx="8">
                  <c:v>9</c:v>
                </c:pt>
                <c:pt idx="9">
                  <c:v>10</c:v>
                </c:pt>
                <c:pt idx="10">
                  <c:v>15</c:v>
                </c:pt>
                <c:pt idx="11">
                  <c:v>20</c:v>
                </c:pt>
                <c:pt idx="12">
                  <c:v>25</c:v>
                </c:pt>
                <c:pt idx="13">
                  <c:v>30</c:v>
                </c:pt>
                <c:pt idx="14">
                  <c:v>35</c:v>
                </c:pt>
                <c:pt idx="15">
                  <c:v>40</c:v>
                </c:pt>
                <c:pt idx="16">
                  <c:v>45</c:v>
                </c:pt>
                <c:pt idx="17">
                  <c:v>50</c:v>
                </c:pt>
                <c:pt idx="18">
                  <c:v>55</c:v>
                </c:pt>
                <c:pt idx="19">
                  <c:v>60</c:v>
                </c:pt>
                <c:pt idx="20">
                  <c:v>65</c:v>
                </c:pt>
                <c:pt idx="21">
                  <c:v>70</c:v>
                </c:pt>
                <c:pt idx="22">
                  <c:v>75</c:v>
                </c:pt>
                <c:pt idx="23">
                  <c:v>80</c:v>
                </c:pt>
                <c:pt idx="24">
                  <c:v>85</c:v>
                </c:pt>
                <c:pt idx="25">
                  <c:v>90</c:v>
                </c:pt>
                <c:pt idx="26">
                  <c:v>95</c:v>
                </c:pt>
                <c:pt idx="27">
                  <c:v>100</c:v>
                </c:pt>
                <c:pt idx="28">
                  <c:v>150</c:v>
                </c:pt>
                <c:pt idx="29">
                  <c:v>200</c:v>
                </c:pt>
                <c:pt idx="30">
                  <c:v>250</c:v>
                </c:pt>
                <c:pt idx="31">
                  <c:v>300</c:v>
                </c:pt>
                <c:pt idx="32">
                  <c:v>350</c:v>
                </c:pt>
                <c:pt idx="33">
                  <c:v>400</c:v>
                </c:pt>
                <c:pt idx="34">
                  <c:v>450</c:v>
                </c:pt>
                <c:pt idx="35">
                  <c:v>500</c:v>
                </c:pt>
                <c:pt idx="36">
                  <c:v>550</c:v>
                </c:pt>
                <c:pt idx="37">
                  <c:v>600</c:v>
                </c:pt>
                <c:pt idx="38">
                  <c:v>650</c:v>
                </c:pt>
                <c:pt idx="39">
                  <c:v>700</c:v>
                </c:pt>
                <c:pt idx="40">
                  <c:v>750</c:v>
                </c:pt>
                <c:pt idx="41">
                  <c:v>800</c:v>
                </c:pt>
                <c:pt idx="42">
                  <c:v>850</c:v>
                </c:pt>
                <c:pt idx="43">
                  <c:v>900</c:v>
                </c:pt>
                <c:pt idx="44">
                  <c:v>950</c:v>
                </c:pt>
                <c:pt idx="45">
                  <c:v>1000</c:v>
                </c:pt>
                <c:pt idx="46">
                  <c:v>1500</c:v>
                </c:pt>
                <c:pt idx="47">
                  <c:v>2000</c:v>
                </c:pt>
                <c:pt idx="48">
                  <c:v>2500</c:v>
                </c:pt>
                <c:pt idx="49">
                  <c:v>3000</c:v>
                </c:pt>
                <c:pt idx="50">
                  <c:v>3500</c:v>
                </c:pt>
                <c:pt idx="51">
                  <c:v>4000</c:v>
                </c:pt>
                <c:pt idx="52">
                  <c:v>4500</c:v>
                </c:pt>
                <c:pt idx="53">
                  <c:v>5000</c:v>
                </c:pt>
                <c:pt idx="54">
                  <c:v>5500</c:v>
                </c:pt>
                <c:pt idx="55">
                  <c:v>6000</c:v>
                </c:pt>
                <c:pt idx="56">
                  <c:v>6500</c:v>
                </c:pt>
                <c:pt idx="57">
                  <c:v>7000</c:v>
                </c:pt>
                <c:pt idx="58">
                  <c:v>7500</c:v>
                </c:pt>
                <c:pt idx="59">
                  <c:v>8000</c:v>
                </c:pt>
                <c:pt idx="60">
                  <c:v>8500</c:v>
                </c:pt>
                <c:pt idx="61">
                  <c:v>9000</c:v>
                </c:pt>
                <c:pt idx="62">
                  <c:v>9500</c:v>
                </c:pt>
                <c:pt idx="63">
                  <c:v>10000</c:v>
                </c:pt>
                <c:pt idx="64">
                  <c:v>15000</c:v>
                </c:pt>
                <c:pt idx="65">
                  <c:v>20000</c:v>
                </c:pt>
                <c:pt idx="66">
                  <c:v>25000</c:v>
                </c:pt>
                <c:pt idx="67">
                  <c:v>30000</c:v>
                </c:pt>
                <c:pt idx="68">
                  <c:v>35000</c:v>
                </c:pt>
                <c:pt idx="69">
                  <c:v>40000</c:v>
                </c:pt>
                <c:pt idx="70">
                  <c:v>45000</c:v>
                </c:pt>
                <c:pt idx="71">
                  <c:v>50000</c:v>
                </c:pt>
                <c:pt idx="72">
                  <c:v>55000</c:v>
                </c:pt>
                <c:pt idx="73">
                  <c:v>60000</c:v>
                </c:pt>
                <c:pt idx="74">
                  <c:v>65000</c:v>
                </c:pt>
                <c:pt idx="75">
                  <c:v>70000</c:v>
                </c:pt>
                <c:pt idx="76">
                  <c:v>75000</c:v>
                </c:pt>
                <c:pt idx="77">
                  <c:v>80000</c:v>
                </c:pt>
                <c:pt idx="78">
                  <c:v>85000</c:v>
                </c:pt>
                <c:pt idx="79">
                  <c:v>90000</c:v>
                </c:pt>
                <c:pt idx="80">
                  <c:v>95000</c:v>
                </c:pt>
                <c:pt idx="81">
                  <c:v>100000</c:v>
                </c:pt>
                <c:pt idx="82">
                  <c:v>150000</c:v>
                </c:pt>
                <c:pt idx="83">
                  <c:v>200000</c:v>
                </c:pt>
                <c:pt idx="84">
                  <c:v>250000</c:v>
                </c:pt>
                <c:pt idx="85">
                  <c:v>300000</c:v>
                </c:pt>
                <c:pt idx="86">
                  <c:v>350000</c:v>
                </c:pt>
                <c:pt idx="87">
                  <c:v>400000</c:v>
                </c:pt>
                <c:pt idx="88">
                  <c:v>450000</c:v>
                </c:pt>
                <c:pt idx="89">
                  <c:v>500000</c:v>
                </c:pt>
                <c:pt idx="90">
                  <c:v>550000</c:v>
                </c:pt>
                <c:pt idx="91">
                  <c:v>600000</c:v>
                </c:pt>
                <c:pt idx="92">
                  <c:v>650000</c:v>
                </c:pt>
                <c:pt idx="93">
                  <c:v>700000</c:v>
                </c:pt>
                <c:pt idx="94">
                  <c:v>750000</c:v>
                </c:pt>
                <c:pt idx="95">
                  <c:v>800000</c:v>
                </c:pt>
                <c:pt idx="96">
                  <c:v>850000</c:v>
                </c:pt>
                <c:pt idx="97">
                  <c:v>900000</c:v>
                </c:pt>
                <c:pt idx="98">
                  <c:v>950000</c:v>
                </c:pt>
                <c:pt idx="99">
                  <c:v>1000000</c:v>
                </c:pt>
                <c:pt idx="100">
                  <c:v>1500000</c:v>
                </c:pt>
                <c:pt idx="101">
                  <c:v>2000000</c:v>
                </c:pt>
                <c:pt idx="102">
                  <c:v>2500000</c:v>
                </c:pt>
                <c:pt idx="103">
                  <c:v>3000000</c:v>
                </c:pt>
                <c:pt idx="104">
                  <c:v>3500000</c:v>
                </c:pt>
                <c:pt idx="105">
                  <c:v>4000000</c:v>
                </c:pt>
                <c:pt idx="106">
                  <c:v>4500000</c:v>
                </c:pt>
                <c:pt idx="107">
                  <c:v>5000000</c:v>
                </c:pt>
                <c:pt idx="108">
                  <c:v>5500000</c:v>
                </c:pt>
                <c:pt idx="109">
                  <c:v>6000000</c:v>
                </c:pt>
                <c:pt idx="110">
                  <c:v>6500000</c:v>
                </c:pt>
                <c:pt idx="111">
                  <c:v>7000000</c:v>
                </c:pt>
                <c:pt idx="112">
                  <c:v>7500000</c:v>
                </c:pt>
                <c:pt idx="113">
                  <c:v>8000000</c:v>
                </c:pt>
                <c:pt idx="114">
                  <c:v>8500000</c:v>
                </c:pt>
                <c:pt idx="115">
                  <c:v>9000000</c:v>
                </c:pt>
                <c:pt idx="116">
                  <c:v>9500000</c:v>
                </c:pt>
                <c:pt idx="117">
                  <c:v>10000000</c:v>
                </c:pt>
                <c:pt idx="118">
                  <c:v>15000000</c:v>
                </c:pt>
                <c:pt idx="119">
                  <c:v>20000000</c:v>
                </c:pt>
                <c:pt idx="120">
                  <c:v>25000000</c:v>
                </c:pt>
                <c:pt idx="121">
                  <c:v>30000000</c:v>
                </c:pt>
                <c:pt idx="122">
                  <c:v>35000000</c:v>
                </c:pt>
                <c:pt idx="123">
                  <c:v>40000000</c:v>
                </c:pt>
                <c:pt idx="124">
                  <c:v>45000000</c:v>
                </c:pt>
                <c:pt idx="125">
                  <c:v>50000000</c:v>
                </c:pt>
                <c:pt idx="126">
                  <c:v>55000000</c:v>
                </c:pt>
                <c:pt idx="127">
                  <c:v>60000000</c:v>
                </c:pt>
                <c:pt idx="128">
                  <c:v>65000000</c:v>
                </c:pt>
                <c:pt idx="129">
                  <c:v>70000000</c:v>
                </c:pt>
                <c:pt idx="130">
                  <c:v>75000000</c:v>
                </c:pt>
                <c:pt idx="131">
                  <c:v>80000000</c:v>
                </c:pt>
                <c:pt idx="132">
                  <c:v>85000000</c:v>
                </c:pt>
                <c:pt idx="133">
                  <c:v>90000000</c:v>
                </c:pt>
                <c:pt idx="134">
                  <c:v>95000000</c:v>
                </c:pt>
                <c:pt idx="135">
                  <c:v>100000000</c:v>
                </c:pt>
                <c:pt idx="136">
                  <c:v>150000000</c:v>
                </c:pt>
                <c:pt idx="137">
                  <c:v>200000000</c:v>
                </c:pt>
                <c:pt idx="138">
                  <c:v>250000000</c:v>
                </c:pt>
                <c:pt idx="139">
                  <c:v>300000000</c:v>
                </c:pt>
                <c:pt idx="140">
                  <c:v>350000000</c:v>
                </c:pt>
                <c:pt idx="141">
                  <c:v>400000000</c:v>
                </c:pt>
                <c:pt idx="142">
                  <c:v>450000000</c:v>
                </c:pt>
                <c:pt idx="143">
                  <c:v>500000000</c:v>
                </c:pt>
                <c:pt idx="144">
                  <c:v>550000000</c:v>
                </c:pt>
                <c:pt idx="145">
                  <c:v>600000000</c:v>
                </c:pt>
                <c:pt idx="146">
                  <c:v>650000000</c:v>
                </c:pt>
                <c:pt idx="147">
                  <c:v>700000000</c:v>
                </c:pt>
                <c:pt idx="148">
                  <c:v>750000000</c:v>
                </c:pt>
                <c:pt idx="149">
                  <c:v>800000000</c:v>
                </c:pt>
                <c:pt idx="150">
                  <c:v>850000000</c:v>
                </c:pt>
                <c:pt idx="151">
                  <c:v>900000000</c:v>
                </c:pt>
                <c:pt idx="152">
                  <c:v>950000000</c:v>
                </c:pt>
                <c:pt idx="153">
                  <c:v>1000000000</c:v>
                </c:pt>
              </c:numCache>
            </c:numRef>
          </c:xVal>
          <c:yVal>
            <c:numRef>
              <c:f>'COUT Network Design'!$AG$29:$AG$182</c:f>
              <c:numCache>
                <c:formatCode>0.000000</c:formatCode>
                <c:ptCount val="154"/>
                <c:pt idx="0">
                  <c:v>30142.981645920034</c:v>
                </c:pt>
                <c:pt idx="1">
                  <c:v>15071.49082255161</c:v>
                </c:pt>
                <c:pt idx="2">
                  <c:v>10047.660547913954</c:v>
                </c:pt>
                <c:pt idx="3">
                  <c:v>7535.7454104589906</c:v>
                </c:pt>
                <c:pt idx="4">
                  <c:v>6028.5963278771042</c:v>
                </c:pt>
                <c:pt idx="5">
                  <c:v>5023.8302727317559</c:v>
                </c:pt>
                <c:pt idx="6">
                  <c:v>4306.1402332644302</c:v>
                </c:pt>
                <c:pt idx="7">
                  <c:v>3767.8727035958668</c:v>
                </c:pt>
                <c:pt idx="8">
                  <c:v>3349.2201804598139</c:v>
                </c:pt>
                <c:pt idx="9">
                  <c:v>3014.2981618965173</c:v>
                </c:pt>
                <c:pt idx="10">
                  <c:v>2009.5321056620835</c:v>
                </c:pt>
                <c:pt idx="11">
                  <c:v>1507.1490768641884</c:v>
                </c:pt>
                <c:pt idx="12">
                  <c:v>1205.7192590409081</c:v>
                </c:pt>
                <c:pt idx="13">
                  <c:v>1004.7660467049368</c:v>
                </c:pt>
                <c:pt idx="14">
                  <c:v>861.2280375045691</c:v>
                </c:pt>
                <c:pt idx="15">
                  <c:v>753.57453026395478</c:v>
                </c:pt>
                <c:pt idx="16">
                  <c:v>669.84402432984211</c:v>
                </c:pt>
                <c:pt idx="17">
                  <c:v>602.85961931028123</c:v>
                </c:pt>
                <c:pt idx="18">
                  <c:v>548.05419677403052</c:v>
                </c:pt>
                <c:pt idx="19">
                  <c:v>502.38301110026254</c:v>
                </c:pt>
                <c:pt idx="20">
                  <c:v>463.73816147455818</c:v>
                </c:pt>
                <c:pt idx="21">
                  <c:v>430.61400445804674</c:v>
                </c:pt>
                <c:pt idx="22">
                  <c:v>401.90640152888994</c:v>
                </c:pt>
                <c:pt idx="23">
                  <c:v>376.78724879570865</c:v>
                </c:pt>
                <c:pt idx="24">
                  <c:v>354.62329034156608</c:v>
                </c:pt>
                <c:pt idx="25">
                  <c:v>334.92199378662264</c:v>
                </c:pt>
                <c:pt idx="26">
                  <c:v>317.29451777837329</c:v>
                </c:pt>
                <c:pt idx="27">
                  <c:v>301.42978923481388</c:v>
                </c:pt>
                <c:pt idx="28">
                  <c:v>200.95317013400262</c:v>
                </c:pt>
                <c:pt idx="29">
                  <c:v>150.71485377690638</c:v>
                </c:pt>
                <c:pt idx="30">
                  <c:v>120.57185851735328</c:v>
                </c:pt>
                <c:pt idx="31">
                  <c:v>100.47652380663288</c:v>
                </c:pt>
                <c:pt idx="32">
                  <c:v>86.122709409595302</c:v>
                </c:pt>
                <c:pt idx="33">
                  <c:v>75.357345208675767</c:v>
                </c:pt>
                <c:pt idx="34">
                  <c:v>66.984281138569571</c:v>
                </c:pt>
                <c:pt idx="35">
                  <c:v>60.285827160102052</c:v>
                </c:pt>
                <c:pt idx="36">
                  <c:v>54.805271430169476</c:v>
                </c:pt>
                <c:pt idx="37">
                  <c:v>50.238139386709513</c:v>
                </c:pt>
                <c:pt idx="38">
                  <c:v>46.373640948300626</c:v>
                </c:pt>
                <c:pt idx="39">
                  <c:v>43.061211771076124</c:v>
                </c:pt>
                <c:pt idx="40">
                  <c:v>40.19043800287259</c:v>
                </c:pt>
                <c:pt idx="41">
                  <c:v>37.678509254572496</c:v>
                </c:pt>
                <c:pt idx="42">
                  <c:v>35.462099934502575</c:v>
                </c:pt>
                <c:pt idx="43">
                  <c:v>33.491956804699242</c:v>
                </c:pt>
                <c:pt idx="44">
                  <c:v>31.729195729932382</c:v>
                </c:pt>
                <c:pt idx="45">
                  <c:v>30.142709402021993</c:v>
                </c:pt>
                <c:pt idx="46">
                  <c:v>20.094912782193976</c:v>
                </c:pt>
                <c:pt idx="47">
                  <c:v>15.07094649791941</c:v>
                </c:pt>
                <c:pt idx="48">
                  <c:v>12.056512404979383</c:v>
                </c:pt>
                <c:pt idx="49">
                  <c:v>10.046844468904823</c:v>
                </c:pt>
                <c:pt idx="50">
                  <c:v>8.6113286865872833</c:v>
                </c:pt>
                <c:pt idx="51">
                  <c:v>7.5346580666823577</c:v>
                </c:pt>
                <c:pt idx="52">
                  <c:v>6.6972176230780693</c:v>
                </c:pt>
                <c:pt idx="53">
                  <c:v>6.0272383722827776</c:v>
                </c:pt>
                <c:pt idx="54">
                  <c:v>5.4790491504201801</c:v>
                </c:pt>
                <c:pt idx="55">
                  <c:v>5.0222025217272481</c:v>
                </c:pt>
                <c:pt idx="56">
                  <c:v>4.635619498515088</c:v>
                </c:pt>
                <c:pt idx="57">
                  <c:v>4.3042436668612254</c:v>
                </c:pt>
                <c:pt idx="58">
                  <c:v>4.0170336620253311</c:v>
                </c:pt>
                <c:pt idx="59">
                  <c:v>3.7657084655843915</c:v>
                </c:pt>
                <c:pt idx="60">
                  <c:v>3.5439355388733991</c:v>
                </c:pt>
                <c:pt idx="61">
                  <c:v>3.3467895786127873</c:v>
                </c:pt>
                <c:pt idx="62">
                  <c:v>3.1703821918116608</c:v>
                </c:pt>
                <c:pt idx="63">
                  <c:v>3.0116026682003301</c:v>
                </c:pt>
                <c:pt idx="64">
                  <c:v>2.0055399996281804</c:v>
                </c:pt>
                <c:pt idx="65">
                  <c:v>1.5019219700394204</c:v>
                </c:pt>
                <c:pt idx="66">
                  <c:v>1.1993397046869556</c:v>
                </c:pt>
                <c:pt idx="67">
                  <c:v>0.99733786115775991</c:v>
                </c:pt>
                <c:pt idx="68">
                  <c:v>0.85287666868791012</c:v>
                </c:pt>
                <c:pt idx="69">
                  <c:v>0.74444744907926019</c:v>
                </c:pt>
                <c:pt idx="70">
                  <c:v>0.66011110786567806</c:v>
                </c:pt>
                <c:pt idx="71">
                  <c:v>0.59271348732813856</c:v>
                </c:pt>
                <c:pt idx="72">
                  <c:v>0.53771045497105674</c:v>
                </c:pt>
                <c:pt idx="73">
                  <c:v>0.49208034668419853</c:v>
                </c:pt>
                <c:pt idx="74">
                  <c:v>0.45373822935136793</c:v>
                </c:pt>
                <c:pt idx="75">
                  <c:v>0.42120103687937127</c:v>
                </c:pt>
                <c:pt idx="76">
                  <c:v>0.39338647172701618</c:v>
                </c:pt>
                <c:pt idx="77">
                  <c:v>0.36948712151758384</c:v>
                </c:pt>
                <c:pt idx="78">
                  <c:v>0.34888880087885527</c:v>
                </c:pt>
                <c:pt idx="79">
                  <c:v>0.33111591340650565</c:v>
                </c:pt>
                <c:pt idx="80">
                  <c:v>0.31579388802437991</c:v>
                </c:pt>
                <c:pt idx="81">
                  <c:v>0.30262273989429406</c:v>
                </c:pt>
                <c:pt idx="82">
                  <c:v>0.25004238396444345</c:v>
                </c:pt>
                <c:pt idx="83">
                  <c:v>0.27356856837168841</c:v>
                </c:pt>
                <c:pt idx="84">
                  <c:v>0.32436940316556717</c:v>
                </c:pt>
                <c:pt idx="85">
                  <c:v>0.38456985789727699</c:v>
                </c:pt>
                <c:pt idx="86">
                  <c:v>0.44822253055554728</c:v>
                </c:pt>
                <c:pt idx="87">
                  <c:v>0.51324485607228743</c:v>
                </c:pt>
                <c:pt idx="88">
                  <c:v>0.57883594277230366</c:v>
                </c:pt>
                <c:pt idx="89">
                  <c:v>0.64466154106709994</c:v>
                </c:pt>
                <c:pt idx="90">
                  <c:v>0.71057376192189758</c:v>
                </c:pt>
                <c:pt idx="91">
                  <c:v>0.77650500366482278</c:v>
                </c:pt>
                <c:pt idx="92">
                  <c:v>0.84242431487103198</c:v>
                </c:pt>
                <c:pt idx="93">
                  <c:v>0.90831817456520669</c:v>
                </c:pt>
                <c:pt idx="94">
                  <c:v>0.97418155448549815</c:v>
                </c:pt>
                <c:pt idx="95">
                  <c:v>1.040013584666422</c:v>
                </c:pt>
                <c:pt idx="96">
                  <c:v>1.1058153860986233</c:v>
                </c:pt>
                <c:pt idx="97">
                  <c:v>1.1715889659229515</c:v>
                </c:pt>
                <c:pt idx="98">
                  <c:v>1.2373366506315431</c:v>
                </c:pt>
                <c:pt idx="99">
                  <c:v>1.3030607983623086</c:v>
                </c:pt>
                <c:pt idx="100">
                  <c:v>1.9594141725759258</c:v>
                </c:pt>
                <c:pt idx="101">
                  <c:v>2.6149005628555804</c:v>
                </c:pt>
                <c:pt idx="102">
                  <c:v>3.2700057184746845</c:v>
                </c:pt>
                <c:pt idx="103">
                  <c:v>3.9249132080557509</c:v>
                </c:pt>
                <c:pt idx="104">
                  <c:v>4.5797056796412852</c:v>
                </c:pt>
                <c:pt idx="105">
                  <c:v>5.2344255106791353</c:v>
                </c:pt>
                <c:pt idx="106">
                  <c:v>5.8890965945778948</c:v>
                </c:pt>
                <c:pt idx="107">
                  <c:v>6.5437334038043957</c:v>
                </c:pt>
                <c:pt idx="108">
                  <c:v>7.1983452077897665</c:v>
                </c:pt>
                <c:pt idx="109">
                  <c:v>7.8529382147235172</c:v>
                </c:pt>
                <c:pt idx="110">
                  <c:v>8.5075167372789036</c:v>
                </c:pt>
                <c:pt idx="111">
                  <c:v>9.1620838639548108</c:v>
                </c:pt>
                <c:pt idx="112">
                  <c:v>9.8166418642451934</c:v>
                </c:pt>
                <c:pt idx="113">
                  <c:v>10.471192443015536</c:v>
                </c:pt>
                <c:pt idx="114">
                  <c:v>11.125736905686173</c:v>
                </c:pt>
                <c:pt idx="115">
                  <c:v>11.780276268669626</c:v>
                </c:pt>
                <c:pt idx="116">
                  <c:v>12.434811335109387</c:v>
                </c:pt>
                <c:pt idx="117">
                  <c:v>13.089342747999339</c:v>
                </c:pt>
                <c:pt idx="118">
                  <c:v>19.634536200642945</c:v>
                </c:pt>
                <c:pt idx="119">
                  <c:v>26.179625334411845</c:v>
                </c:pt>
                <c:pt idx="120">
                  <c:v>32.724672706537376</c:v>
                </c:pt>
                <c:pt idx="121">
                  <c:v>39.269699190830998</c:v>
                </c:pt>
                <c:pt idx="122">
                  <c:v>45.814713737161874</c:v>
                </c:pt>
                <c:pt idx="123">
                  <c:v>52.359720821513534</c:v>
                </c:pt>
                <c:pt idx="124">
                  <c:v>58.904722930892852</c:v>
                </c:pt>
                <c:pt idx="125">
                  <c:v>65.449721557640075</c:v>
                </c:pt>
                <c:pt idx="126">
                  <c:v>71.994717651485814</c:v>
                </c:pt>
                <c:pt idx="127">
                  <c:v>78.539711845612359</c:v>
                </c:pt>
                <c:pt idx="128">
                  <c:v>85.084704578391367</c:v>
                </c:pt>
                <c:pt idx="129">
                  <c:v>91.629696162953479</c:v>
                </c:pt>
                <c:pt idx="130">
                  <c:v>98.174686828932323</c:v>
                </c:pt>
                <c:pt idx="131">
                  <c:v>104.71967674855601</c:v>
                </c:pt>
                <c:pt idx="132">
                  <c:v>111.26466605352999</c:v>
                </c:pt>
                <c:pt idx="133">
                  <c:v>117.80965484629291</c:v>
                </c:pt>
                <c:pt idx="134">
                  <c:v>124.35464320771818</c:v>
                </c:pt>
                <c:pt idx="135">
                  <c:v>130.89963120250493</c:v>
                </c:pt>
                <c:pt idx="136">
                  <c:v>196.34949905119257</c:v>
                </c:pt>
                <c:pt idx="137">
                  <c:v>261.79935645049005</c:v>
                </c:pt>
                <c:pt idx="138">
                  <c:v>327.24920966999736</c:v>
                </c:pt>
                <c:pt idx="139">
                  <c:v>392.69906079960248</c:v>
                </c:pt>
                <c:pt idx="140">
                  <c:v>458.1489107349758</c:v>
                </c:pt>
                <c:pt idx="141">
                  <c:v>523.59875992395359</c:v>
                </c:pt>
                <c:pt idx="142">
                  <c:v>589.04860861533382</c:v>
                </c:pt>
                <c:pt idx="143">
                  <c:v>654.49845695839599</c:v>
                </c:pt>
                <c:pt idx="144">
                  <c:v>719.94830504813524</c:v>
                </c:pt>
                <c:pt idx="145">
                  <c:v>785.39815294788286</c:v>
                </c:pt>
                <c:pt idx="146">
                  <c:v>850.84800070148276</c:v>
                </c:pt>
                <c:pt idx="147">
                  <c:v>916.29784834025213</c:v>
                </c:pt>
                <c:pt idx="148">
                  <c:v>981.74769588715765</c:v>
                </c:pt>
                <c:pt idx="149">
                  <c:v>1047.1975433594232</c:v>
                </c:pt>
                <c:pt idx="150">
                  <c:v>1112.6473907702207</c:v>
                </c:pt>
                <c:pt idx="151">
                  <c:v>1178.097238129795</c:v>
                </c:pt>
                <c:pt idx="152">
                  <c:v>1243.547085446234</c:v>
                </c:pt>
                <c:pt idx="153">
                  <c:v>1308.9969327260076</c:v>
                </c:pt>
              </c:numCache>
            </c:numRef>
          </c:yVal>
          <c:smooth val="1"/>
          <c:extLst>
            <c:ext xmlns:c16="http://schemas.microsoft.com/office/drawing/2014/chart" uri="{C3380CC4-5D6E-409C-BE32-E72D297353CC}">
              <c16:uniqueId val="{00000001-2F3B-4CCE-BBDD-AC13E4060BB3}"/>
            </c:ext>
          </c:extLst>
        </c:ser>
        <c:ser>
          <c:idx val="2"/>
          <c:order val="2"/>
          <c:tx>
            <c:strRef>
              <c:f>'COUT Network Design'!$AL$28</c:f>
              <c:strCache>
                <c:ptCount val="1"/>
                <c:pt idx="0">
                  <c:v>Z(MF1)</c:v>
                </c:pt>
              </c:strCache>
            </c:strRef>
          </c:tx>
          <c:spPr>
            <a:ln w="25400" cap="rnd">
              <a:solidFill>
                <a:schemeClr val="accent3"/>
              </a:solidFill>
              <a:round/>
            </a:ln>
            <a:effectLst/>
          </c:spPr>
          <c:marker>
            <c:symbol val="none"/>
          </c:marker>
          <c:xVal>
            <c:numRef>
              <c:f>'COUT Network Design'!$Z$29:$Z$182</c:f>
              <c:numCache>
                <c:formatCode>#,##0</c:formatCode>
                <c:ptCount val="154"/>
                <c:pt idx="0">
                  <c:v>1</c:v>
                </c:pt>
                <c:pt idx="1">
                  <c:v>2</c:v>
                </c:pt>
                <c:pt idx="2">
                  <c:v>3</c:v>
                </c:pt>
                <c:pt idx="3">
                  <c:v>4</c:v>
                </c:pt>
                <c:pt idx="4">
                  <c:v>5</c:v>
                </c:pt>
                <c:pt idx="5">
                  <c:v>6</c:v>
                </c:pt>
                <c:pt idx="6">
                  <c:v>7</c:v>
                </c:pt>
                <c:pt idx="7">
                  <c:v>8</c:v>
                </c:pt>
                <c:pt idx="8">
                  <c:v>9</c:v>
                </c:pt>
                <c:pt idx="9">
                  <c:v>10</c:v>
                </c:pt>
                <c:pt idx="10">
                  <c:v>15</c:v>
                </c:pt>
                <c:pt idx="11">
                  <c:v>20</c:v>
                </c:pt>
                <c:pt idx="12">
                  <c:v>25</c:v>
                </c:pt>
                <c:pt idx="13">
                  <c:v>30</c:v>
                </c:pt>
                <c:pt idx="14">
                  <c:v>35</c:v>
                </c:pt>
                <c:pt idx="15">
                  <c:v>40</c:v>
                </c:pt>
                <c:pt idx="16">
                  <c:v>45</c:v>
                </c:pt>
                <c:pt idx="17">
                  <c:v>50</c:v>
                </c:pt>
                <c:pt idx="18">
                  <c:v>55</c:v>
                </c:pt>
                <c:pt idx="19">
                  <c:v>60</c:v>
                </c:pt>
                <c:pt idx="20">
                  <c:v>65</c:v>
                </c:pt>
                <c:pt idx="21">
                  <c:v>70</c:v>
                </c:pt>
                <c:pt idx="22">
                  <c:v>75</c:v>
                </c:pt>
                <c:pt idx="23">
                  <c:v>80</c:v>
                </c:pt>
                <c:pt idx="24">
                  <c:v>85</c:v>
                </c:pt>
                <c:pt idx="25">
                  <c:v>90</c:v>
                </c:pt>
                <c:pt idx="26">
                  <c:v>95</c:v>
                </c:pt>
                <c:pt idx="27">
                  <c:v>100</c:v>
                </c:pt>
                <c:pt idx="28">
                  <c:v>150</c:v>
                </c:pt>
                <c:pt idx="29">
                  <c:v>200</c:v>
                </c:pt>
                <c:pt idx="30">
                  <c:v>250</c:v>
                </c:pt>
                <c:pt idx="31">
                  <c:v>300</c:v>
                </c:pt>
                <c:pt idx="32">
                  <c:v>350</c:v>
                </c:pt>
                <c:pt idx="33">
                  <c:v>400</c:v>
                </c:pt>
                <c:pt idx="34">
                  <c:v>450</c:v>
                </c:pt>
                <c:pt idx="35">
                  <c:v>500</c:v>
                </c:pt>
                <c:pt idx="36">
                  <c:v>550</c:v>
                </c:pt>
                <c:pt idx="37">
                  <c:v>600</c:v>
                </c:pt>
                <c:pt idx="38">
                  <c:v>650</c:v>
                </c:pt>
                <c:pt idx="39">
                  <c:v>700</c:v>
                </c:pt>
                <c:pt idx="40">
                  <c:v>750</c:v>
                </c:pt>
                <c:pt idx="41">
                  <c:v>800</c:v>
                </c:pt>
                <c:pt idx="42">
                  <c:v>850</c:v>
                </c:pt>
                <c:pt idx="43">
                  <c:v>900</c:v>
                </c:pt>
                <c:pt idx="44">
                  <c:v>950</c:v>
                </c:pt>
                <c:pt idx="45">
                  <c:v>1000</c:v>
                </c:pt>
                <c:pt idx="46">
                  <c:v>1500</c:v>
                </c:pt>
                <c:pt idx="47">
                  <c:v>2000</c:v>
                </c:pt>
                <c:pt idx="48">
                  <c:v>2500</c:v>
                </c:pt>
                <c:pt idx="49">
                  <c:v>3000</c:v>
                </c:pt>
                <c:pt idx="50">
                  <c:v>3500</c:v>
                </c:pt>
                <c:pt idx="51">
                  <c:v>4000</c:v>
                </c:pt>
                <c:pt idx="52">
                  <c:v>4500</c:v>
                </c:pt>
                <c:pt idx="53">
                  <c:v>5000</c:v>
                </c:pt>
                <c:pt idx="54">
                  <c:v>5500</c:v>
                </c:pt>
                <c:pt idx="55">
                  <c:v>6000</c:v>
                </c:pt>
                <c:pt idx="56">
                  <c:v>6500</c:v>
                </c:pt>
                <c:pt idx="57">
                  <c:v>7000</c:v>
                </c:pt>
                <c:pt idx="58">
                  <c:v>7500</c:v>
                </c:pt>
                <c:pt idx="59">
                  <c:v>8000</c:v>
                </c:pt>
                <c:pt idx="60">
                  <c:v>8500</c:v>
                </c:pt>
                <c:pt idx="61">
                  <c:v>9000</c:v>
                </c:pt>
                <c:pt idx="62">
                  <c:v>9500</c:v>
                </c:pt>
                <c:pt idx="63">
                  <c:v>10000</c:v>
                </c:pt>
                <c:pt idx="64">
                  <c:v>15000</c:v>
                </c:pt>
                <c:pt idx="65">
                  <c:v>20000</c:v>
                </c:pt>
                <c:pt idx="66">
                  <c:v>25000</c:v>
                </c:pt>
                <c:pt idx="67">
                  <c:v>30000</c:v>
                </c:pt>
                <c:pt idx="68">
                  <c:v>35000</c:v>
                </c:pt>
                <c:pt idx="69">
                  <c:v>40000</c:v>
                </c:pt>
                <c:pt idx="70">
                  <c:v>45000</c:v>
                </c:pt>
                <c:pt idx="71">
                  <c:v>50000</c:v>
                </c:pt>
                <c:pt idx="72">
                  <c:v>55000</c:v>
                </c:pt>
                <c:pt idx="73">
                  <c:v>60000</c:v>
                </c:pt>
                <c:pt idx="74">
                  <c:v>65000</c:v>
                </c:pt>
                <c:pt idx="75">
                  <c:v>70000</c:v>
                </c:pt>
                <c:pt idx="76">
                  <c:v>75000</c:v>
                </c:pt>
                <c:pt idx="77">
                  <c:v>80000</c:v>
                </c:pt>
                <c:pt idx="78">
                  <c:v>85000</c:v>
                </c:pt>
                <c:pt idx="79">
                  <c:v>90000</c:v>
                </c:pt>
                <c:pt idx="80">
                  <c:v>95000</c:v>
                </c:pt>
                <c:pt idx="81">
                  <c:v>100000</c:v>
                </c:pt>
                <c:pt idx="82">
                  <c:v>150000</c:v>
                </c:pt>
                <c:pt idx="83">
                  <c:v>200000</c:v>
                </c:pt>
                <c:pt idx="84">
                  <c:v>250000</c:v>
                </c:pt>
                <c:pt idx="85">
                  <c:v>300000</c:v>
                </c:pt>
                <c:pt idx="86">
                  <c:v>350000</c:v>
                </c:pt>
                <c:pt idx="87">
                  <c:v>400000</c:v>
                </c:pt>
                <c:pt idx="88">
                  <c:v>450000</c:v>
                </c:pt>
                <c:pt idx="89">
                  <c:v>500000</c:v>
                </c:pt>
                <c:pt idx="90">
                  <c:v>550000</c:v>
                </c:pt>
                <c:pt idx="91">
                  <c:v>600000</c:v>
                </c:pt>
                <c:pt idx="92">
                  <c:v>650000</c:v>
                </c:pt>
                <c:pt idx="93">
                  <c:v>700000</c:v>
                </c:pt>
                <c:pt idx="94">
                  <c:v>750000</c:v>
                </c:pt>
                <c:pt idx="95">
                  <c:v>800000</c:v>
                </c:pt>
                <c:pt idx="96">
                  <c:v>850000</c:v>
                </c:pt>
                <c:pt idx="97">
                  <c:v>900000</c:v>
                </c:pt>
                <c:pt idx="98">
                  <c:v>950000</c:v>
                </c:pt>
                <c:pt idx="99">
                  <c:v>1000000</c:v>
                </c:pt>
                <c:pt idx="100">
                  <c:v>1500000</c:v>
                </c:pt>
                <c:pt idx="101">
                  <c:v>2000000</c:v>
                </c:pt>
                <c:pt idx="102">
                  <c:v>2500000</c:v>
                </c:pt>
                <c:pt idx="103">
                  <c:v>3000000</c:v>
                </c:pt>
                <c:pt idx="104">
                  <c:v>3500000</c:v>
                </c:pt>
                <c:pt idx="105">
                  <c:v>4000000</c:v>
                </c:pt>
                <c:pt idx="106">
                  <c:v>4500000</c:v>
                </c:pt>
                <c:pt idx="107">
                  <c:v>5000000</c:v>
                </c:pt>
                <c:pt idx="108">
                  <c:v>5500000</c:v>
                </c:pt>
                <c:pt idx="109">
                  <c:v>6000000</c:v>
                </c:pt>
                <c:pt idx="110">
                  <c:v>6500000</c:v>
                </c:pt>
                <c:pt idx="111">
                  <c:v>7000000</c:v>
                </c:pt>
                <c:pt idx="112">
                  <c:v>7500000</c:v>
                </c:pt>
                <c:pt idx="113">
                  <c:v>8000000</c:v>
                </c:pt>
                <c:pt idx="114">
                  <c:v>8500000</c:v>
                </c:pt>
                <c:pt idx="115">
                  <c:v>9000000</c:v>
                </c:pt>
                <c:pt idx="116">
                  <c:v>9500000</c:v>
                </c:pt>
                <c:pt idx="117">
                  <c:v>10000000</c:v>
                </c:pt>
                <c:pt idx="118">
                  <c:v>15000000</c:v>
                </c:pt>
                <c:pt idx="119">
                  <c:v>20000000</c:v>
                </c:pt>
                <c:pt idx="120">
                  <c:v>25000000</c:v>
                </c:pt>
                <c:pt idx="121">
                  <c:v>30000000</c:v>
                </c:pt>
                <c:pt idx="122">
                  <c:v>35000000</c:v>
                </c:pt>
                <c:pt idx="123">
                  <c:v>40000000</c:v>
                </c:pt>
                <c:pt idx="124">
                  <c:v>45000000</c:v>
                </c:pt>
                <c:pt idx="125">
                  <c:v>50000000</c:v>
                </c:pt>
                <c:pt idx="126">
                  <c:v>55000000</c:v>
                </c:pt>
                <c:pt idx="127">
                  <c:v>60000000</c:v>
                </c:pt>
                <c:pt idx="128">
                  <c:v>65000000</c:v>
                </c:pt>
                <c:pt idx="129">
                  <c:v>70000000</c:v>
                </c:pt>
                <c:pt idx="130">
                  <c:v>75000000</c:v>
                </c:pt>
                <c:pt idx="131">
                  <c:v>80000000</c:v>
                </c:pt>
                <c:pt idx="132">
                  <c:v>85000000</c:v>
                </c:pt>
                <c:pt idx="133">
                  <c:v>90000000</c:v>
                </c:pt>
                <c:pt idx="134">
                  <c:v>95000000</c:v>
                </c:pt>
                <c:pt idx="135">
                  <c:v>100000000</c:v>
                </c:pt>
                <c:pt idx="136">
                  <c:v>150000000</c:v>
                </c:pt>
                <c:pt idx="137">
                  <c:v>200000000</c:v>
                </c:pt>
                <c:pt idx="138">
                  <c:v>250000000</c:v>
                </c:pt>
                <c:pt idx="139">
                  <c:v>300000000</c:v>
                </c:pt>
                <c:pt idx="140">
                  <c:v>350000000</c:v>
                </c:pt>
                <c:pt idx="141">
                  <c:v>400000000</c:v>
                </c:pt>
                <c:pt idx="142">
                  <c:v>450000000</c:v>
                </c:pt>
                <c:pt idx="143">
                  <c:v>500000000</c:v>
                </c:pt>
                <c:pt idx="144">
                  <c:v>550000000</c:v>
                </c:pt>
                <c:pt idx="145">
                  <c:v>600000000</c:v>
                </c:pt>
                <c:pt idx="146">
                  <c:v>650000000</c:v>
                </c:pt>
                <c:pt idx="147">
                  <c:v>700000000</c:v>
                </c:pt>
                <c:pt idx="148">
                  <c:v>750000000</c:v>
                </c:pt>
                <c:pt idx="149">
                  <c:v>800000000</c:v>
                </c:pt>
                <c:pt idx="150">
                  <c:v>850000000</c:v>
                </c:pt>
                <c:pt idx="151">
                  <c:v>900000000</c:v>
                </c:pt>
                <c:pt idx="152">
                  <c:v>950000000</c:v>
                </c:pt>
                <c:pt idx="153">
                  <c:v>1000000000</c:v>
                </c:pt>
              </c:numCache>
            </c:numRef>
          </c:xVal>
          <c:yVal>
            <c:numRef>
              <c:f>'COUT Network Design'!$AL$29:$AL$182</c:f>
              <c:numCache>
                <c:formatCode>0.000000</c:formatCode>
                <c:ptCount val="154"/>
                <c:pt idx="0">
                  <c:v>1989436.7886486489</c:v>
                </c:pt>
                <c:pt idx="1">
                  <c:v>994718.39432425948</c:v>
                </c:pt>
                <c:pt idx="2">
                  <c:v>663145.59621610108</c:v>
                </c:pt>
                <c:pt idx="3">
                  <c:v>497359.19716200023</c:v>
                </c:pt>
                <c:pt idx="4">
                  <c:v>397887.35772952234</c:v>
                </c:pt>
                <c:pt idx="5">
                  <c:v>331572.79810785619</c:v>
                </c:pt>
                <c:pt idx="6">
                  <c:v>284205.2555209393</c:v>
                </c:pt>
                <c:pt idx="7">
                  <c:v>248679.59858074092</c:v>
                </c:pt>
                <c:pt idx="8">
                  <c:v>221048.5320716881</c:v>
                </c:pt>
                <c:pt idx="9">
                  <c:v>198943.67886443721</c:v>
                </c:pt>
                <c:pt idx="10">
                  <c:v>132629.11924259819</c:v>
                </c:pt>
                <c:pt idx="11">
                  <c:v>99471.839431570639</c:v>
                </c:pt>
                <c:pt idx="12">
                  <c:v>79577.471544867745</c:v>
                </c:pt>
                <c:pt idx="13">
                  <c:v>66314.559620327156</c:v>
                </c:pt>
                <c:pt idx="14">
                  <c:v>56841.051102736456</c:v>
                </c:pt>
                <c:pt idx="15">
                  <c:v>49735.919714489421</c:v>
                </c:pt>
                <c:pt idx="16">
                  <c:v>44209.706412471511</c:v>
                </c:pt>
                <c:pt idx="17">
                  <c:v>39788.73577081399</c:v>
                </c:pt>
                <c:pt idx="18">
                  <c:v>36171.577973054933</c:v>
                </c:pt>
                <c:pt idx="19">
                  <c:v>33157.279808219719</c:v>
                </c:pt>
                <c:pt idx="20">
                  <c:v>30606.719822556694</c:v>
                </c:pt>
                <c:pt idx="21">
                  <c:v>28420.525549100392</c:v>
                </c:pt>
                <c:pt idx="22">
                  <c:v>26525.823845409453</c:v>
                </c:pt>
                <c:pt idx="23">
                  <c:v>24867.959854652898</c:v>
                </c:pt>
                <c:pt idx="24">
                  <c:v>23405.138686312879</c:v>
                </c:pt>
                <c:pt idx="25">
                  <c:v>22104.85320331997</c:v>
                </c:pt>
                <c:pt idx="26">
                  <c:v>20941.43987640884</c:v>
                </c:pt>
                <c:pt idx="27">
                  <c:v>19894.367882167226</c:v>
                </c:pt>
                <c:pt idx="28">
                  <c:v>13262.911917845076</c:v>
                </c:pt>
                <c:pt idx="29">
                  <c:v>9947.1839346040797</c:v>
                </c:pt>
                <c:pt idx="30">
                  <c:v>7957.7471437955437</c:v>
                </c:pt>
                <c:pt idx="31">
                  <c:v>6631.4559492032367</c:v>
                </c:pt>
                <c:pt idx="32">
                  <c:v>5684.1050953059184</c:v>
                </c:pt>
                <c:pt idx="33">
                  <c:v>4973.59195434297</c:v>
                </c:pt>
                <c:pt idx="34">
                  <c:v>4420.9706220029329</c:v>
                </c:pt>
                <c:pt idx="35">
                  <c:v>3978.8735556989345</c:v>
                </c:pt>
                <c:pt idx="36">
                  <c:v>3617.1577737847815</c:v>
                </c:pt>
                <c:pt idx="37">
                  <c:v>3315.7279551630136</c:v>
                </c:pt>
                <c:pt idx="38">
                  <c:v>3060.6719544584653</c:v>
                </c:pt>
                <c:pt idx="39">
                  <c:v>2842.0525249745874</c:v>
                </c:pt>
                <c:pt idx="40">
                  <c:v>2652.5823524672483</c:v>
                </c:pt>
                <c:pt idx="41">
                  <c:v>2486.7959512533457</c:v>
                </c:pt>
                <c:pt idx="42">
                  <c:v>2340.5138322810972</c:v>
                </c:pt>
                <c:pt idx="43">
                  <c:v>2210.4852818435597</c:v>
                </c:pt>
                <c:pt idx="44">
                  <c:v>2094.1439470142004</c:v>
                </c:pt>
                <c:pt idx="45">
                  <c:v>1989.4367454517933</c:v>
                </c:pt>
                <c:pt idx="46">
                  <c:v>1326.291127637113</c:v>
                </c:pt>
                <c:pt idx="47">
                  <c:v>994.71830793054869</c:v>
                </c:pt>
                <c:pt idx="48">
                  <c:v>795.77460746723068</c:v>
                </c:pt>
                <c:pt idx="49">
                  <c:v>663.14546662553607</c:v>
                </c:pt>
                <c:pt idx="50">
                  <c:v>568.41035985334076</c:v>
                </c:pt>
                <c:pt idx="51">
                  <c:v>497.35902437458276</c:v>
                </c:pt>
                <c:pt idx="52">
                  <c:v>442.09686975811633</c:v>
                </c:pt>
                <c:pt idx="53">
                  <c:v>397.88714174525455</c:v>
                </c:pt>
                <c:pt idx="54">
                  <c:v>361.71554217137805</c:v>
                </c:pt>
                <c:pt idx="55">
                  <c:v>331.57253892674066</c:v>
                </c:pt>
                <c:pt idx="56">
                  <c:v>306.06691747382587</c:v>
                </c:pt>
                <c:pt idx="57">
                  <c:v>284.20495314297938</c:v>
                </c:pt>
                <c:pt idx="58">
                  <c:v>265.2579145097875</c:v>
                </c:pt>
                <c:pt idx="59">
                  <c:v>248.67925300594027</c:v>
                </c:pt>
                <c:pt idx="60">
                  <c:v>234.05101972625945</c:v>
                </c:pt>
                <c:pt idx="61">
                  <c:v>221.04814330005095</c:v>
                </c:pt>
                <c:pt idx="62">
                  <c:v>209.41398843466152</c:v>
                </c:pt>
                <c:pt idx="63">
                  <c:v>198.94324689596846</c:v>
                </c:pt>
                <c:pt idx="64">
                  <c:v>132.62847129006218</c:v>
                </c:pt>
                <c:pt idx="65">
                  <c:v>99.470975495168005</c:v>
                </c:pt>
                <c:pt idx="66">
                  <c:v>79.576391624865892</c:v>
                </c:pt>
                <c:pt idx="67">
                  <c:v>66.313263717060366</c:v>
                </c:pt>
                <c:pt idx="68">
                  <c:v>56.839539216605921</c:v>
                </c:pt>
                <c:pt idx="69">
                  <c:v>49.734191845963174</c:v>
                </c:pt>
                <c:pt idx="70">
                  <c:v>44.207762562084483</c:v>
                </c:pt>
                <c:pt idx="71">
                  <c:v>39.786575939167989</c:v>
                </c:pt>
                <c:pt idx="72">
                  <c:v>36.169202160818628</c:v>
                </c:pt>
                <c:pt idx="73">
                  <c:v>33.154688016128723</c:v>
                </c:pt>
                <c:pt idx="74">
                  <c:v>30.603912051413502</c:v>
                </c:pt>
                <c:pt idx="75">
                  <c:v>28.417501799774413</c:v>
                </c:pt>
                <c:pt idx="76">
                  <c:v>26.522584118837027</c:v>
                </c:pt>
                <c:pt idx="77">
                  <c:v>24.864504151837281</c:v>
                </c:pt>
                <c:pt idx="78">
                  <c:v>23.401467008324289</c:v>
                </c:pt>
                <c:pt idx="79">
                  <c:v>22.10096555129558</c:v>
                </c:pt>
                <c:pt idx="80">
                  <c:v>20.937336251552789</c:v>
                </c:pt>
                <c:pt idx="81">
                  <c:v>19.890048285750641</c:v>
                </c:pt>
                <c:pt idx="82">
                  <c:v>13.256432690481413</c:v>
                </c:pt>
                <c:pt idx="83">
                  <c:v>9.9385452772103502</c:v>
                </c:pt>
                <c:pt idx="84">
                  <c:v>7.9469493246007943</c:v>
                </c:pt>
                <c:pt idx="85">
                  <c:v>6.6184993040406921</c:v>
                </c:pt>
                <c:pt idx="86">
                  <c:v>5.6689900279793246</c:v>
                </c:pt>
                <c:pt idx="87">
                  <c:v>4.9563189370679703</c:v>
                </c:pt>
                <c:pt idx="88">
                  <c:v>4.4015401959244365</c:v>
                </c:pt>
                <c:pt idx="89">
                  <c:v>3.9572863314856104</c:v>
                </c:pt>
                <c:pt idx="90">
                  <c:v>3.593414432301989</c:v>
                </c:pt>
                <c:pt idx="91">
                  <c:v>3.2898292482256561</c:v>
                </c:pt>
                <c:pt idx="92">
                  <c:v>3.0326187056654481</c:v>
                </c:pt>
                <c:pt idx="93">
                  <c:v>2.8118456306267325</c:v>
                </c:pt>
                <c:pt idx="94">
                  <c:v>2.6202227825707287</c:v>
                </c:pt>
                <c:pt idx="95">
                  <c:v>2.4522847506109056</c:v>
                </c:pt>
                <c:pt idx="96">
                  <c:v>2.3038521216735237</c:v>
                </c:pt>
                <c:pt idx="97">
                  <c:v>2.1716742593041203</c:v>
                </c:pt>
                <c:pt idx="98">
                  <c:v>2.0531848891989508</c:v>
                </c:pt>
                <c:pt idx="99">
                  <c:v>1.9463310091089503</c:v>
                </c:pt>
                <c:pt idx="100">
                  <c:v>1.2618121153135164</c:v>
                </c:pt>
                <c:pt idx="101">
                  <c:v>0.90910523481508199</c:v>
                </c:pt>
                <c:pt idx="102">
                  <c:v>0.68939214454013253</c:v>
                </c:pt>
                <c:pt idx="103">
                  <c:v>0.53653800489171866</c:v>
                </c:pt>
                <c:pt idx="104">
                  <c:v>0.42239626678520692</c:v>
                </c:pt>
                <c:pt idx="105">
                  <c:v>0.33319925997175165</c:v>
                </c:pt>
                <c:pt idx="106">
                  <c:v>0.26180756134486138</c:v>
                </c:pt>
                <c:pt idx="107">
                  <c:v>0.20483133109287846</c:v>
                </c:pt>
                <c:pt idx="108">
                  <c:v>0.16167343714469978</c:v>
                </c:pt>
                <c:pt idx="109">
                  <c:v>0.1341987931915514</c:v>
                </c:pt>
                <c:pt idx="110">
                  <c:v>0.12500022673856104</c:v>
                </c:pt>
                <c:pt idx="111">
                  <c:v>0.13307898326897619</c:v>
                </c:pt>
                <c:pt idx="112">
                  <c:v>0.15296768870007801</c:v>
                </c:pt>
                <c:pt idx="113">
                  <c:v>0.17913359854068989</c:v>
                </c:pt>
                <c:pt idx="114">
                  <c:v>0.2082013646808068</c:v>
                </c:pt>
                <c:pt idx="115">
                  <c:v>0.23845543344841932</c:v>
                </c:pt>
                <c:pt idx="116">
                  <c:v>0.26906141454421312</c:v>
                </c:pt>
                <c:pt idx="117">
                  <c:v>0.29961589808419514</c:v>
                </c:pt>
                <c:pt idx="118">
                  <c:v>0.58767695724469915</c:v>
                </c:pt>
                <c:pt idx="119">
                  <c:v>0.85222300070938861</c:v>
                </c:pt>
                <c:pt idx="120">
                  <c:v>1.1056087431278918</c:v>
                </c:pt>
                <c:pt idx="121">
                  <c:v>1.3531879071431303</c:v>
                </c:pt>
                <c:pt idx="122">
                  <c:v>1.5973933824017459</c:v>
                </c:pt>
                <c:pt idx="123">
                  <c:v>1.8394717301720589</c:v>
                </c:pt>
                <c:pt idx="124">
                  <c:v>2.0801245163180946</c:v>
                </c:pt>
                <c:pt idx="125">
                  <c:v>2.3197759846819634</c:v>
                </c:pt>
                <c:pt idx="126">
                  <c:v>2.5586974964900948</c:v>
                </c:pt>
                <c:pt idx="127">
                  <c:v>2.7970706051308096</c:v>
                </c:pt>
                <c:pt idx="128">
                  <c:v>3.0350213269570347</c:v>
                </c:pt>
                <c:pt idx="129">
                  <c:v>3.2726398485738812</c:v>
                </c:pt>
                <c:pt idx="130">
                  <c:v>3.5099924058977061</c:v>
                </c:pt>
                <c:pt idx="131">
                  <c:v>3.7471287345107567</c:v>
                </c:pt>
                <c:pt idx="132">
                  <c:v>3.9840869035499198</c:v>
                </c:pt>
                <c:pt idx="133">
                  <c:v>4.2208965452283556</c:v>
                </c:pt>
                <c:pt idx="134">
                  <c:v>4.4575810683448429</c:v>
                </c:pt>
                <c:pt idx="135">
                  <c:v>4.6941592099464042</c:v>
                </c:pt>
                <c:pt idx="136">
                  <c:v>7.0564277921160352</c:v>
                </c:pt>
                <c:pt idx="137">
                  <c:v>9.415660548058888</c:v>
                </c:pt>
                <c:pt idx="138">
                  <c:v>11.773678278943198</c:v>
                </c:pt>
                <c:pt idx="139">
                  <c:v>14.131088355051343</c:v>
                </c:pt>
                <c:pt idx="140">
                  <c:v>16.488151158152213</c:v>
                </c:pt>
                <c:pt idx="141">
                  <c:v>18.844996900393319</c:v>
                </c:pt>
                <c:pt idx="142">
                  <c:v>21.201697928930486</c:v>
                </c:pt>
                <c:pt idx="143">
                  <c:v>23.558297654811806</c:v>
                </c:pt>
                <c:pt idx="144">
                  <c:v>25.91482370445485</c:v>
                </c:pt>
                <c:pt idx="145">
                  <c:v>28.271294496048284</c:v>
                </c:pt>
                <c:pt idx="146">
                  <c:v>30.627722780942598</c:v>
                </c:pt>
                <c:pt idx="147">
                  <c:v>32.984117667407205</c:v>
                </c:pt>
                <c:pt idx="148">
                  <c:v>35.340485834932508</c:v>
                </c:pt>
                <c:pt idx="149">
                  <c:v>37.696832293191711</c:v>
                </c:pt>
                <c:pt idx="150">
                  <c:v>40.05316087314575</c:v>
                </c:pt>
                <c:pt idx="151">
                  <c:v>42.409474554452814</c:v>
                </c:pt>
                <c:pt idx="152">
                  <c:v>44.765775689489033</c:v>
                </c:pt>
                <c:pt idx="153">
                  <c:v>47.12206616016497</c:v>
                </c:pt>
              </c:numCache>
            </c:numRef>
          </c:yVal>
          <c:smooth val="1"/>
          <c:extLst>
            <c:ext xmlns:c16="http://schemas.microsoft.com/office/drawing/2014/chart" uri="{C3380CC4-5D6E-409C-BE32-E72D297353CC}">
              <c16:uniqueId val="{00000002-2F3B-4CCE-BBDD-AC13E4060BB3}"/>
            </c:ext>
          </c:extLst>
        </c:ser>
        <c:ser>
          <c:idx val="7"/>
          <c:order val="3"/>
          <c:tx>
            <c:strRef>
              <c:f>'COUT Network Design'!$AQ$28</c:f>
              <c:strCache>
                <c:ptCount val="1"/>
                <c:pt idx="0">
                  <c:v>Z(MF2)</c:v>
                </c:pt>
              </c:strCache>
            </c:strRef>
          </c:tx>
          <c:spPr>
            <a:ln w="25400" cap="rnd">
              <a:solidFill>
                <a:srgbClr val="7030A0"/>
              </a:solidFill>
              <a:round/>
            </a:ln>
            <a:effectLst/>
          </c:spPr>
          <c:marker>
            <c:symbol val="none"/>
          </c:marker>
          <c:xVal>
            <c:numRef>
              <c:f>'COUT Network Design'!$Z$29:$Z$182</c:f>
              <c:numCache>
                <c:formatCode>#,##0</c:formatCode>
                <c:ptCount val="154"/>
                <c:pt idx="0">
                  <c:v>1</c:v>
                </c:pt>
                <c:pt idx="1">
                  <c:v>2</c:v>
                </c:pt>
                <c:pt idx="2">
                  <c:v>3</c:v>
                </c:pt>
                <c:pt idx="3">
                  <c:v>4</c:v>
                </c:pt>
                <c:pt idx="4">
                  <c:v>5</c:v>
                </c:pt>
                <c:pt idx="5">
                  <c:v>6</c:v>
                </c:pt>
                <c:pt idx="6">
                  <c:v>7</c:v>
                </c:pt>
                <c:pt idx="7">
                  <c:v>8</c:v>
                </c:pt>
                <c:pt idx="8">
                  <c:v>9</c:v>
                </c:pt>
                <c:pt idx="9">
                  <c:v>10</c:v>
                </c:pt>
                <c:pt idx="10">
                  <c:v>15</c:v>
                </c:pt>
                <c:pt idx="11">
                  <c:v>20</c:v>
                </c:pt>
                <c:pt idx="12">
                  <c:v>25</c:v>
                </c:pt>
                <c:pt idx="13">
                  <c:v>30</c:v>
                </c:pt>
                <c:pt idx="14">
                  <c:v>35</c:v>
                </c:pt>
                <c:pt idx="15">
                  <c:v>40</c:v>
                </c:pt>
                <c:pt idx="16">
                  <c:v>45</c:v>
                </c:pt>
                <c:pt idx="17">
                  <c:v>50</c:v>
                </c:pt>
                <c:pt idx="18">
                  <c:v>55</c:v>
                </c:pt>
                <c:pt idx="19">
                  <c:v>60</c:v>
                </c:pt>
                <c:pt idx="20">
                  <c:v>65</c:v>
                </c:pt>
                <c:pt idx="21">
                  <c:v>70</c:v>
                </c:pt>
                <c:pt idx="22">
                  <c:v>75</c:v>
                </c:pt>
                <c:pt idx="23">
                  <c:v>80</c:v>
                </c:pt>
                <c:pt idx="24">
                  <c:v>85</c:v>
                </c:pt>
                <c:pt idx="25">
                  <c:v>90</c:v>
                </c:pt>
                <c:pt idx="26">
                  <c:v>95</c:v>
                </c:pt>
                <c:pt idx="27">
                  <c:v>100</c:v>
                </c:pt>
                <c:pt idx="28">
                  <c:v>150</c:v>
                </c:pt>
                <c:pt idx="29">
                  <c:v>200</c:v>
                </c:pt>
                <c:pt idx="30">
                  <c:v>250</c:v>
                </c:pt>
                <c:pt idx="31">
                  <c:v>300</c:v>
                </c:pt>
                <c:pt idx="32">
                  <c:v>350</c:v>
                </c:pt>
                <c:pt idx="33">
                  <c:v>400</c:v>
                </c:pt>
                <c:pt idx="34">
                  <c:v>450</c:v>
                </c:pt>
                <c:pt idx="35">
                  <c:v>500</c:v>
                </c:pt>
                <c:pt idx="36">
                  <c:v>550</c:v>
                </c:pt>
                <c:pt idx="37">
                  <c:v>600</c:v>
                </c:pt>
                <c:pt idx="38">
                  <c:v>650</c:v>
                </c:pt>
                <c:pt idx="39">
                  <c:v>700</c:v>
                </c:pt>
                <c:pt idx="40">
                  <c:v>750</c:v>
                </c:pt>
                <c:pt idx="41">
                  <c:v>800</c:v>
                </c:pt>
                <c:pt idx="42">
                  <c:v>850</c:v>
                </c:pt>
                <c:pt idx="43">
                  <c:v>900</c:v>
                </c:pt>
                <c:pt idx="44">
                  <c:v>950</c:v>
                </c:pt>
                <c:pt idx="45">
                  <c:v>1000</c:v>
                </c:pt>
                <c:pt idx="46">
                  <c:v>1500</c:v>
                </c:pt>
                <c:pt idx="47">
                  <c:v>2000</c:v>
                </c:pt>
                <c:pt idx="48">
                  <c:v>2500</c:v>
                </c:pt>
                <c:pt idx="49">
                  <c:v>3000</c:v>
                </c:pt>
                <c:pt idx="50">
                  <c:v>3500</c:v>
                </c:pt>
                <c:pt idx="51">
                  <c:v>4000</c:v>
                </c:pt>
                <c:pt idx="52">
                  <c:v>4500</c:v>
                </c:pt>
                <c:pt idx="53">
                  <c:v>5000</c:v>
                </c:pt>
                <c:pt idx="54">
                  <c:v>5500</c:v>
                </c:pt>
                <c:pt idx="55">
                  <c:v>6000</c:v>
                </c:pt>
                <c:pt idx="56">
                  <c:v>6500</c:v>
                </c:pt>
                <c:pt idx="57">
                  <c:v>7000</c:v>
                </c:pt>
                <c:pt idx="58">
                  <c:v>7500</c:v>
                </c:pt>
                <c:pt idx="59">
                  <c:v>8000</c:v>
                </c:pt>
                <c:pt idx="60">
                  <c:v>8500</c:v>
                </c:pt>
                <c:pt idx="61">
                  <c:v>9000</c:v>
                </c:pt>
                <c:pt idx="62">
                  <c:v>9500</c:v>
                </c:pt>
                <c:pt idx="63">
                  <c:v>10000</c:v>
                </c:pt>
                <c:pt idx="64">
                  <c:v>15000</c:v>
                </c:pt>
                <c:pt idx="65">
                  <c:v>20000</c:v>
                </c:pt>
                <c:pt idx="66">
                  <c:v>25000</c:v>
                </c:pt>
                <c:pt idx="67">
                  <c:v>30000</c:v>
                </c:pt>
                <c:pt idx="68">
                  <c:v>35000</c:v>
                </c:pt>
                <c:pt idx="69">
                  <c:v>40000</c:v>
                </c:pt>
                <c:pt idx="70">
                  <c:v>45000</c:v>
                </c:pt>
                <c:pt idx="71">
                  <c:v>50000</c:v>
                </c:pt>
                <c:pt idx="72">
                  <c:v>55000</c:v>
                </c:pt>
                <c:pt idx="73">
                  <c:v>60000</c:v>
                </c:pt>
                <c:pt idx="74">
                  <c:v>65000</c:v>
                </c:pt>
                <c:pt idx="75">
                  <c:v>70000</c:v>
                </c:pt>
                <c:pt idx="76">
                  <c:v>75000</c:v>
                </c:pt>
                <c:pt idx="77">
                  <c:v>80000</c:v>
                </c:pt>
                <c:pt idx="78">
                  <c:v>85000</c:v>
                </c:pt>
                <c:pt idx="79">
                  <c:v>90000</c:v>
                </c:pt>
                <c:pt idx="80">
                  <c:v>95000</c:v>
                </c:pt>
                <c:pt idx="81">
                  <c:v>100000</c:v>
                </c:pt>
                <c:pt idx="82">
                  <c:v>150000</c:v>
                </c:pt>
                <c:pt idx="83">
                  <c:v>200000</c:v>
                </c:pt>
                <c:pt idx="84">
                  <c:v>250000</c:v>
                </c:pt>
                <c:pt idx="85">
                  <c:v>300000</c:v>
                </c:pt>
                <c:pt idx="86">
                  <c:v>350000</c:v>
                </c:pt>
                <c:pt idx="87">
                  <c:v>400000</c:v>
                </c:pt>
                <c:pt idx="88">
                  <c:v>450000</c:v>
                </c:pt>
                <c:pt idx="89">
                  <c:v>500000</c:v>
                </c:pt>
                <c:pt idx="90">
                  <c:v>550000</c:v>
                </c:pt>
                <c:pt idx="91">
                  <c:v>600000</c:v>
                </c:pt>
                <c:pt idx="92">
                  <c:v>650000</c:v>
                </c:pt>
                <c:pt idx="93">
                  <c:v>700000</c:v>
                </c:pt>
                <c:pt idx="94">
                  <c:v>750000</c:v>
                </c:pt>
                <c:pt idx="95">
                  <c:v>800000</c:v>
                </c:pt>
                <c:pt idx="96">
                  <c:v>850000</c:v>
                </c:pt>
                <c:pt idx="97">
                  <c:v>900000</c:v>
                </c:pt>
                <c:pt idx="98">
                  <c:v>950000</c:v>
                </c:pt>
                <c:pt idx="99">
                  <c:v>1000000</c:v>
                </c:pt>
                <c:pt idx="100">
                  <c:v>1500000</c:v>
                </c:pt>
                <c:pt idx="101">
                  <c:v>2000000</c:v>
                </c:pt>
                <c:pt idx="102">
                  <c:v>2500000</c:v>
                </c:pt>
                <c:pt idx="103">
                  <c:v>3000000</c:v>
                </c:pt>
                <c:pt idx="104">
                  <c:v>3500000</c:v>
                </c:pt>
                <c:pt idx="105">
                  <c:v>4000000</c:v>
                </c:pt>
                <c:pt idx="106">
                  <c:v>4500000</c:v>
                </c:pt>
                <c:pt idx="107">
                  <c:v>5000000</c:v>
                </c:pt>
                <c:pt idx="108">
                  <c:v>5500000</c:v>
                </c:pt>
                <c:pt idx="109">
                  <c:v>6000000</c:v>
                </c:pt>
                <c:pt idx="110">
                  <c:v>6500000</c:v>
                </c:pt>
                <c:pt idx="111">
                  <c:v>7000000</c:v>
                </c:pt>
                <c:pt idx="112">
                  <c:v>7500000</c:v>
                </c:pt>
                <c:pt idx="113">
                  <c:v>8000000</c:v>
                </c:pt>
                <c:pt idx="114">
                  <c:v>8500000</c:v>
                </c:pt>
                <c:pt idx="115">
                  <c:v>9000000</c:v>
                </c:pt>
                <c:pt idx="116">
                  <c:v>9500000</c:v>
                </c:pt>
                <c:pt idx="117">
                  <c:v>10000000</c:v>
                </c:pt>
                <c:pt idx="118">
                  <c:v>15000000</c:v>
                </c:pt>
                <c:pt idx="119">
                  <c:v>20000000</c:v>
                </c:pt>
                <c:pt idx="120">
                  <c:v>25000000</c:v>
                </c:pt>
                <c:pt idx="121">
                  <c:v>30000000</c:v>
                </c:pt>
                <c:pt idx="122">
                  <c:v>35000000</c:v>
                </c:pt>
                <c:pt idx="123">
                  <c:v>40000000</c:v>
                </c:pt>
                <c:pt idx="124">
                  <c:v>45000000</c:v>
                </c:pt>
                <c:pt idx="125">
                  <c:v>50000000</c:v>
                </c:pt>
                <c:pt idx="126">
                  <c:v>55000000</c:v>
                </c:pt>
                <c:pt idx="127">
                  <c:v>60000000</c:v>
                </c:pt>
                <c:pt idx="128">
                  <c:v>65000000</c:v>
                </c:pt>
                <c:pt idx="129">
                  <c:v>70000000</c:v>
                </c:pt>
                <c:pt idx="130">
                  <c:v>75000000</c:v>
                </c:pt>
                <c:pt idx="131">
                  <c:v>80000000</c:v>
                </c:pt>
                <c:pt idx="132">
                  <c:v>85000000</c:v>
                </c:pt>
                <c:pt idx="133">
                  <c:v>90000000</c:v>
                </c:pt>
                <c:pt idx="134">
                  <c:v>95000000</c:v>
                </c:pt>
                <c:pt idx="135">
                  <c:v>100000000</c:v>
                </c:pt>
                <c:pt idx="136">
                  <c:v>150000000</c:v>
                </c:pt>
                <c:pt idx="137">
                  <c:v>200000000</c:v>
                </c:pt>
                <c:pt idx="138">
                  <c:v>250000000</c:v>
                </c:pt>
                <c:pt idx="139">
                  <c:v>300000000</c:v>
                </c:pt>
                <c:pt idx="140">
                  <c:v>350000000</c:v>
                </c:pt>
                <c:pt idx="141">
                  <c:v>400000000</c:v>
                </c:pt>
                <c:pt idx="142">
                  <c:v>450000000</c:v>
                </c:pt>
                <c:pt idx="143">
                  <c:v>500000000</c:v>
                </c:pt>
                <c:pt idx="144">
                  <c:v>550000000</c:v>
                </c:pt>
                <c:pt idx="145">
                  <c:v>600000000</c:v>
                </c:pt>
                <c:pt idx="146">
                  <c:v>650000000</c:v>
                </c:pt>
                <c:pt idx="147">
                  <c:v>700000000</c:v>
                </c:pt>
                <c:pt idx="148">
                  <c:v>750000000</c:v>
                </c:pt>
                <c:pt idx="149">
                  <c:v>800000000</c:v>
                </c:pt>
                <c:pt idx="150">
                  <c:v>850000000</c:v>
                </c:pt>
                <c:pt idx="151">
                  <c:v>900000000</c:v>
                </c:pt>
                <c:pt idx="152">
                  <c:v>950000000</c:v>
                </c:pt>
                <c:pt idx="153">
                  <c:v>1000000000</c:v>
                </c:pt>
              </c:numCache>
            </c:numRef>
          </c:xVal>
          <c:yVal>
            <c:numRef>
              <c:f>'COUT Network Design'!$AQ$29:$AQ$182</c:f>
              <c:numCache>
                <c:formatCode>0.000000</c:formatCode>
                <c:ptCount val="154"/>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numCache>
            </c:numRef>
          </c:yVal>
          <c:smooth val="1"/>
          <c:extLst>
            <c:ext xmlns:c16="http://schemas.microsoft.com/office/drawing/2014/chart" uri="{C3380CC4-5D6E-409C-BE32-E72D297353CC}">
              <c16:uniqueId val="{00000000-80F6-4B7C-810E-30D0C7A06603}"/>
            </c:ext>
          </c:extLst>
        </c:ser>
        <c:ser>
          <c:idx val="8"/>
          <c:order val="4"/>
          <c:tx>
            <c:strRef>
              <c:f>'COUT Network Design'!$AV$28</c:f>
              <c:strCache>
                <c:ptCount val="1"/>
                <c:pt idx="0">
                  <c:v>Z(MF3)</c:v>
                </c:pt>
              </c:strCache>
            </c:strRef>
          </c:tx>
          <c:spPr>
            <a:ln w="25400" cap="rnd">
              <a:solidFill>
                <a:srgbClr val="FF0000"/>
              </a:solidFill>
              <a:round/>
            </a:ln>
            <a:effectLst/>
          </c:spPr>
          <c:marker>
            <c:symbol val="none"/>
          </c:marker>
          <c:xVal>
            <c:numRef>
              <c:f>'COUT Network Design'!$Z$29:$Z$182</c:f>
              <c:numCache>
                <c:formatCode>#,##0</c:formatCode>
                <c:ptCount val="154"/>
                <c:pt idx="0">
                  <c:v>1</c:v>
                </c:pt>
                <c:pt idx="1">
                  <c:v>2</c:v>
                </c:pt>
                <c:pt idx="2">
                  <c:v>3</c:v>
                </c:pt>
                <c:pt idx="3">
                  <c:v>4</c:v>
                </c:pt>
                <c:pt idx="4">
                  <c:v>5</c:v>
                </c:pt>
                <c:pt idx="5">
                  <c:v>6</c:v>
                </c:pt>
                <c:pt idx="6">
                  <c:v>7</c:v>
                </c:pt>
                <c:pt idx="7">
                  <c:v>8</c:v>
                </c:pt>
                <c:pt idx="8">
                  <c:v>9</c:v>
                </c:pt>
                <c:pt idx="9">
                  <c:v>10</c:v>
                </c:pt>
                <c:pt idx="10">
                  <c:v>15</c:v>
                </c:pt>
                <c:pt idx="11">
                  <c:v>20</c:v>
                </c:pt>
                <c:pt idx="12">
                  <c:v>25</c:v>
                </c:pt>
                <c:pt idx="13">
                  <c:v>30</c:v>
                </c:pt>
                <c:pt idx="14">
                  <c:v>35</c:v>
                </c:pt>
                <c:pt idx="15">
                  <c:v>40</c:v>
                </c:pt>
                <c:pt idx="16">
                  <c:v>45</c:v>
                </c:pt>
                <c:pt idx="17">
                  <c:v>50</c:v>
                </c:pt>
                <c:pt idx="18">
                  <c:v>55</c:v>
                </c:pt>
                <c:pt idx="19">
                  <c:v>60</c:v>
                </c:pt>
                <c:pt idx="20">
                  <c:v>65</c:v>
                </c:pt>
                <c:pt idx="21">
                  <c:v>70</c:v>
                </c:pt>
                <c:pt idx="22">
                  <c:v>75</c:v>
                </c:pt>
                <c:pt idx="23">
                  <c:v>80</c:v>
                </c:pt>
                <c:pt idx="24">
                  <c:v>85</c:v>
                </c:pt>
                <c:pt idx="25">
                  <c:v>90</c:v>
                </c:pt>
                <c:pt idx="26">
                  <c:v>95</c:v>
                </c:pt>
                <c:pt idx="27">
                  <c:v>100</c:v>
                </c:pt>
                <c:pt idx="28">
                  <c:v>150</c:v>
                </c:pt>
                <c:pt idx="29">
                  <c:v>200</c:v>
                </c:pt>
                <c:pt idx="30">
                  <c:v>250</c:v>
                </c:pt>
                <c:pt idx="31">
                  <c:v>300</c:v>
                </c:pt>
                <c:pt idx="32">
                  <c:v>350</c:v>
                </c:pt>
                <c:pt idx="33">
                  <c:v>400</c:v>
                </c:pt>
                <c:pt idx="34">
                  <c:v>450</c:v>
                </c:pt>
                <c:pt idx="35">
                  <c:v>500</c:v>
                </c:pt>
                <c:pt idx="36">
                  <c:v>550</c:v>
                </c:pt>
                <c:pt idx="37">
                  <c:v>600</c:v>
                </c:pt>
                <c:pt idx="38">
                  <c:v>650</c:v>
                </c:pt>
                <c:pt idx="39">
                  <c:v>700</c:v>
                </c:pt>
                <c:pt idx="40">
                  <c:v>750</c:v>
                </c:pt>
                <c:pt idx="41">
                  <c:v>800</c:v>
                </c:pt>
                <c:pt idx="42">
                  <c:v>850</c:v>
                </c:pt>
                <c:pt idx="43">
                  <c:v>900</c:v>
                </c:pt>
                <c:pt idx="44">
                  <c:v>950</c:v>
                </c:pt>
                <c:pt idx="45">
                  <c:v>1000</c:v>
                </c:pt>
                <c:pt idx="46">
                  <c:v>1500</c:v>
                </c:pt>
                <c:pt idx="47">
                  <c:v>2000</c:v>
                </c:pt>
                <c:pt idx="48">
                  <c:v>2500</c:v>
                </c:pt>
                <c:pt idx="49">
                  <c:v>3000</c:v>
                </c:pt>
                <c:pt idx="50">
                  <c:v>3500</c:v>
                </c:pt>
                <c:pt idx="51">
                  <c:v>4000</c:v>
                </c:pt>
                <c:pt idx="52">
                  <c:v>4500</c:v>
                </c:pt>
                <c:pt idx="53">
                  <c:v>5000</c:v>
                </c:pt>
                <c:pt idx="54">
                  <c:v>5500</c:v>
                </c:pt>
                <c:pt idx="55">
                  <c:v>6000</c:v>
                </c:pt>
                <c:pt idx="56">
                  <c:v>6500</c:v>
                </c:pt>
                <c:pt idx="57">
                  <c:v>7000</c:v>
                </c:pt>
                <c:pt idx="58">
                  <c:v>7500</c:v>
                </c:pt>
                <c:pt idx="59">
                  <c:v>8000</c:v>
                </c:pt>
                <c:pt idx="60">
                  <c:v>8500</c:v>
                </c:pt>
                <c:pt idx="61">
                  <c:v>9000</c:v>
                </c:pt>
                <c:pt idx="62">
                  <c:v>9500</c:v>
                </c:pt>
                <c:pt idx="63">
                  <c:v>10000</c:v>
                </c:pt>
                <c:pt idx="64">
                  <c:v>15000</c:v>
                </c:pt>
                <c:pt idx="65">
                  <c:v>20000</c:v>
                </c:pt>
                <c:pt idx="66">
                  <c:v>25000</c:v>
                </c:pt>
                <c:pt idx="67">
                  <c:v>30000</c:v>
                </c:pt>
                <c:pt idx="68">
                  <c:v>35000</c:v>
                </c:pt>
                <c:pt idx="69">
                  <c:v>40000</c:v>
                </c:pt>
                <c:pt idx="70">
                  <c:v>45000</c:v>
                </c:pt>
                <c:pt idx="71">
                  <c:v>50000</c:v>
                </c:pt>
                <c:pt idx="72">
                  <c:v>55000</c:v>
                </c:pt>
                <c:pt idx="73">
                  <c:v>60000</c:v>
                </c:pt>
                <c:pt idx="74">
                  <c:v>65000</c:v>
                </c:pt>
                <c:pt idx="75">
                  <c:v>70000</c:v>
                </c:pt>
                <c:pt idx="76">
                  <c:v>75000</c:v>
                </c:pt>
                <c:pt idx="77">
                  <c:v>80000</c:v>
                </c:pt>
                <c:pt idx="78">
                  <c:v>85000</c:v>
                </c:pt>
                <c:pt idx="79">
                  <c:v>90000</c:v>
                </c:pt>
                <c:pt idx="80">
                  <c:v>95000</c:v>
                </c:pt>
                <c:pt idx="81">
                  <c:v>100000</c:v>
                </c:pt>
                <c:pt idx="82">
                  <c:v>150000</c:v>
                </c:pt>
                <c:pt idx="83">
                  <c:v>200000</c:v>
                </c:pt>
                <c:pt idx="84">
                  <c:v>250000</c:v>
                </c:pt>
                <c:pt idx="85">
                  <c:v>300000</c:v>
                </c:pt>
                <c:pt idx="86">
                  <c:v>350000</c:v>
                </c:pt>
                <c:pt idx="87">
                  <c:v>400000</c:v>
                </c:pt>
                <c:pt idx="88">
                  <c:v>450000</c:v>
                </c:pt>
                <c:pt idx="89">
                  <c:v>500000</c:v>
                </c:pt>
                <c:pt idx="90">
                  <c:v>550000</c:v>
                </c:pt>
                <c:pt idx="91">
                  <c:v>600000</c:v>
                </c:pt>
                <c:pt idx="92">
                  <c:v>650000</c:v>
                </c:pt>
                <c:pt idx="93">
                  <c:v>700000</c:v>
                </c:pt>
                <c:pt idx="94">
                  <c:v>750000</c:v>
                </c:pt>
                <c:pt idx="95">
                  <c:v>800000</c:v>
                </c:pt>
                <c:pt idx="96">
                  <c:v>850000</c:v>
                </c:pt>
                <c:pt idx="97">
                  <c:v>900000</c:v>
                </c:pt>
                <c:pt idx="98">
                  <c:v>950000</c:v>
                </c:pt>
                <c:pt idx="99">
                  <c:v>1000000</c:v>
                </c:pt>
                <c:pt idx="100">
                  <c:v>1500000</c:v>
                </c:pt>
                <c:pt idx="101">
                  <c:v>2000000</c:v>
                </c:pt>
                <c:pt idx="102">
                  <c:v>2500000</c:v>
                </c:pt>
                <c:pt idx="103">
                  <c:v>3000000</c:v>
                </c:pt>
                <c:pt idx="104">
                  <c:v>3500000</c:v>
                </c:pt>
                <c:pt idx="105">
                  <c:v>4000000</c:v>
                </c:pt>
                <c:pt idx="106">
                  <c:v>4500000</c:v>
                </c:pt>
                <c:pt idx="107">
                  <c:v>5000000</c:v>
                </c:pt>
                <c:pt idx="108">
                  <c:v>5500000</c:v>
                </c:pt>
                <c:pt idx="109">
                  <c:v>6000000</c:v>
                </c:pt>
                <c:pt idx="110">
                  <c:v>6500000</c:v>
                </c:pt>
                <c:pt idx="111">
                  <c:v>7000000</c:v>
                </c:pt>
                <c:pt idx="112">
                  <c:v>7500000</c:v>
                </c:pt>
                <c:pt idx="113">
                  <c:v>8000000</c:v>
                </c:pt>
                <c:pt idx="114">
                  <c:v>8500000</c:v>
                </c:pt>
                <c:pt idx="115">
                  <c:v>9000000</c:v>
                </c:pt>
                <c:pt idx="116">
                  <c:v>9500000</c:v>
                </c:pt>
                <c:pt idx="117">
                  <c:v>10000000</c:v>
                </c:pt>
                <c:pt idx="118">
                  <c:v>15000000</c:v>
                </c:pt>
                <c:pt idx="119">
                  <c:v>20000000</c:v>
                </c:pt>
                <c:pt idx="120">
                  <c:v>25000000</c:v>
                </c:pt>
                <c:pt idx="121">
                  <c:v>30000000</c:v>
                </c:pt>
                <c:pt idx="122">
                  <c:v>35000000</c:v>
                </c:pt>
                <c:pt idx="123">
                  <c:v>40000000</c:v>
                </c:pt>
                <c:pt idx="124">
                  <c:v>45000000</c:v>
                </c:pt>
                <c:pt idx="125">
                  <c:v>50000000</c:v>
                </c:pt>
                <c:pt idx="126">
                  <c:v>55000000</c:v>
                </c:pt>
                <c:pt idx="127">
                  <c:v>60000000</c:v>
                </c:pt>
                <c:pt idx="128">
                  <c:v>65000000</c:v>
                </c:pt>
                <c:pt idx="129">
                  <c:v>70000000</c:v>
                </c:pt>
                <c:pt idx="130">
                  <c:v>75000000</c:v>
                </c:pt>
                <c:pt idx="131">
                  <c:v>80000000</c:v>
                </c:pt>
                <c:pt idx="132">
                  <c:v>85000000</c:v>
                </c:pt>
                <c:pt idx="133">
                  <c:v>90000000</c:v>
                </c:pt>
                <c:pt idx="134">
                  <c:v>95000000</c:v>
                </c:pt>
                <c:pt idx="135">
                  <c:v>100000000</c:v>
                </c:pt>
                <c:pt idx="136">
                  <c:v>150000000</c:v>
                </c:pt>
                <c:pt idx="137">
                  <c:v>200000000</c:v>
                </c:pt>
                <c:pt idx="138">
                  <c:v>250000000</c:v>
                </c:pt>
                <c:pt idx="139">
                  <c:v>300000000</c:v>
                </c:pt>
                <c:pt idx="140">
                  <c:v>350000000</c:v>
                </c:pt>
                <c:pt idx="141">
                  <c:v>400000000</c:v>
                </c:pt>
                <c:pt idx="142">
                  <c:v>450000000</c:v>
                </c:pt>
                <c:pt idx="143">
                  <c:v>500000000</c:v>
                </c:pt>
                <c:pt idx="144">
                  <c:v>550000000</c:v>
                </c:pt>
                <c:pt idx="145">
                  <c:v>600000000</c:v>
                </c:pt>
                <c:pt idx="146">
                  <c:v>650000000</c:v>
                </c:pt>
                <c:pt idx="147">
                  <c:v>700000000</c:v>
                </c:pt>
                <c:pt idx="148">
                  <c:v>750000000</c:v>
                </c:pt>
                <c:pt idx="149">
                  <c:v>800000000</c:v>
                </c:pt>
                <c:pt idx="150">
                  <c:v>850000000</c:v>
                </c:pt>
                <c:pt idx="151">
                  <c:v>900000000</c:v>
                </c:pt>
                <c:pt idx="152">
                  <c:v>950000000</c:v>
                </c:pt>
                <c:pt idx="153">
                  <c:v>1000000000</c:v>
                </c:pt>
              </c:numCache>
            </c:numRef>
          </c:xVal>
          <c:yVal>
            <c:numRef>
              <c:f>'COUT Network Design'!$AV$29:$AV$182</c:f>
              <c:numCache>
                <c:formatCode>0.000000</c:formatCode>
                <c:ptCount val="154"/>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numCache>
            </c:numRef>
          </c:yVal>
          <c:smooth val="1"/>
          <c:extLst>
            <c:ext xmlns:c16="http://schemas.microsoft.com/office/drawing/2014/chart" uri="{C3380CC4-5D6E-409C-BE32-E72D297353CC}">
              <c16:uniqueId val="{00000001-80F6-4B7C-810E-30D0C7A06603}"/>
            </c:ext>
          </c:extLst>
        </c:ser>
        <c:ser>
          <c:idx val="3"/>
          <c:order val="5"/>
          <c:tx>
            <c:strRef>
              <c:f>'COUT Network Design'!$BA$28</c:f>
              <c:strCache>
                <c:ptCount val="1"/>
                <c:pt idx="0">
                  <c:v>Z(HF)</c:v>
                </c:pt>
              </c:strCache>
            </c:strRef>
          </c:tx>
          <c:spPr>
            <a:ln w="25400" cap="rnd">
              <a:solidFill>
                <a:schemeClr val="accent4"/>
              </a:solidFill>
              <a:round/>
            </a:ln>
            <a:effectLst/>
          </c:spPr>
          <c:marker>
            <c:symbol val="none"/>
          </c:marker>
          <c:xVal>
            <c:numRef>
              <c:f>'COUT Network Design'!$Z$29:$Z$182</c:f>
              <c:numCache>
                <c:formatCode>#,##0</c:formatCode>
                <c:ptCount val="154"/>
                <c:pt idx="0">
                  <c:v>1</c:v>
                </c:pt>
                <c:pt idx="1">
                  <c:v>2</c:v>
                </c:pt>
                <c:pt idx="2">
                  <c:v>3</c:v>
                </c:pt>
                <c:pt idx="3">
                  <c:v>4</c:v>
                </c:pt>
                <c:pt idx="4">
                  <c:v>5</c:v>
                </c:pt>
                <c:pt idx="5">
                  <c:v>6</c:v>
                </c:pt>
                <c:pt idx="6">
                  <c:v>7</c:v>
                </c:pt>
                <c:pt idx="7">
                  <c:v>8</c:v>
                </c:pt>
                <c:pt idx="8">
                  <c:v>9</c:v>
                </c:pt>
                <c:pt idx="9">
                  <c:v>10</c:v>
                </c:pt>
                <c:pt idx="10">
                  <c:v>15</c:v>
                </c:pt>
                <c:pt idx="11">
                  <c:v>20</c:v>
                </c:pt>
                <c:pt idx="12">
                  <c:v>25</c:v>
                </c:pt>
                <c:pt idx="13">
                  <c:v>30</c:v>
                </c:pt>
                <c:pt idx="14">
                  <c:v>35</c:v>
                </c:pt>
                <c:pt idx="15">
                  <c:v>40</c:v>
                </c:pt>
                <c:pt idx="16">
                  <c:v>45</c:v>
                </c:pt>
                <c:pt idx="17">
                  <c:v>50</c:v>
                </c:pt>
                <c:pt idx="18">
                  <c:v>55</c:v>
                </c:pt>
                <c:pt idx="19">
                  <c:v>60</c:v>
                </c:pt>
                <c:pt idx="20">
                  <c:v>65</c:v>
                </c:pt>
                <c:pt idx="21">
                  <c:v>70</c:v>
                </c:pt>
                <c:pt idx="22">
                  <c:v>75</c:v>
                </c:pt>
                <c:pt idx="23">
                  <c:v>80</c:v>
                </c:pt>
                <c:pt idx="24">
                  <c:v>85</c:v>
                </c:pt>
                <c:pt idx="25">
                  <c:v>90</c:v>
                </c:pt>
                <c:pt idx="26">
                  <c:v>95</c:v>
                </c:pt>
                <c:pt idx="27">
                  <c:v>100</c:v>
                </c:pt>
                <c:pt idx="28">
                  <c:v>150</c:v>
                </c:pt>
                <c:pt idx="29">
                  <c:v>200</c:v>
                </c:pt>
                <c:pt idx="30">
                  <c:v>250</c:v>
                </c:pt>
                <c:pt idx="31">
                  <c:v>300</c:v>
                </c:pt>
                <c:pt idx="32">
                  <c:v>350</c:v>
                </c:pt>
                <c:pt idx="33">
                  <c:v>400</c:v>
                </c:pt>
                <c:pt idx="34">
                  <c:v>450</c:v>
                </c:pt>
                <c:pt idx="35">
                  <c:v>500</c:v>
                </c:pt>
                <c:pt idx="36">
                  <c:v>550</c:v>
                </c:pt>
                <c:pt idx="37">
                  <c:v>600</c:v>
                </c:pt>
                <c:pt idx="38">
                  <c:v>650</c:v>
                </c:pt>
                <c:pt idx="39">
                  <c:v>700</c:v>
                </c:pt>
                <c:pt idx="40">
                  <c:v>750</c:v>
                </c:pt>
                <c:pt idx="41">
                  <c:v>800</c:v>
                </c:pt>
                <c:pt idx="42">
                  <c:v>850</c:v>
                </c:pt>
                <c:pt idx="43">
                  <c:v>900</c:v>
                </c:pt>
                <c:pt idx="44">
                  <c:v>950</c:v>
                </c:pt>
                <c:pt idx="45">
                  <c:v>1000</c:v>
                </c:pt>
                <c:pt idx="46">
                  <c:v>1500</c:v>
                </c:pt>
                <c:pt idx="47">
                  <c:v>2000</c:v>
                </c:pt>
                <c:pt idx="48">
                  <c:v>2500</c:v>
                </c:pt>
                <c:pt idx="49">
                  <c:v>3000</c:v>
                </c:pt>
                <c:pt idx="50">
                  <c:v>3500</c:v>
                </c:pt>
                <c:pt idx="51">
                  <c:v>4000</c:v>
                </c:pt>
                <c:pt idx="52">
                  <c:v>4500</c:v>
                </c:pt>
                <c:pt idx="53">
                  <c:v>5000</c:v>
                </c:pt>
                <c:pt idx="54">
                  <c:v>5500</c:v>
                </c:pt>
                <c:pt idx="55">
                  <c:v>6000</c:v>
                </c:pt>
                <c:pt idx="56">
                  <c:v>6500</c:v>
                </c:pt>
                <c:pt idx="57">
                  <c:v>7000</c:v>
                </c:pt>
                <c:pt idx="58">
                  <c:v>7500</c:v>
                </c:pt>
                <c:pt idx="59">
                  <c:v>8000</c:v>
                </c:pt>
                <c:pt idx="60">
                  <c:v>8500</c:v>
                </c:pt>
                <c:pt idx="61">
                  <c:v>9000</c:v>
                </c:pt>
                <c:pt idx="62">
                  <c:v>9500</c:v>
                </c:pt>
                <c:pt idx="63">
                  <c:v>10000</c:v>
                </c:pt>
                <c:pt idx="64">
                  <c:v>15000</c:v>
                </c:pt>
                <c:pt idx="65">
                  <c:v>20000</c:v>
                </c:pt>
                <c:pt idx="66">
                  <c:v>25000</c:v>
                </c:pt>
                <c:pt idx="67">
                  <c:v>30000</c:v>
                </c:pt>
                <c:pt idx="68">
                  <c:v>35000</c:v>
                </c:pt>
                <c:pt idx="69">
                  <c:v>40000</c:v>
                </c:pt>
                <c:pt idx="70">
                  <c:v>45000</c:v>
                </c:pt>
                <c:pt idx="71">
                  <c:v>50000</c:v>
                </c:pt>
                <c:pt idx="72">
                  <c:v>55000</c:v>
                </c:pt>
                <c:pt idx="73">
                  <c:v>60000</c:v>
                </c:pt>
                <c:pt idx="74">
                  <c:v>65000</c:v>
                </c:pt>
                <c:pt idx="75">
                  <c:v>70000</c:v>
                </c:pt>
                <c:pt idx="76">
                  <c:v>75000</c:v>
                </c:pt>
                <c:pt idx="77">
                  <c:v>80000</c:v>
                </c:pt>
                <c:pt idx="78">
                  <c:v>85000</c:v>
                </c:pt>
                <c:pt idx="79">
                  <c:v>90000</c:v>
                </c:pt>
                <c:pt idx="80">
                  <c:v>95000</c:v>
                </c:pt>
                <c:pt idx="81">
                  <c:v>100000</c:v>
                </c:pt>
                <c:pt idx="82">
                  <c:v>150000</c:v>
                </c:pt>
                <c:pt idx="83">
                  <c:v>200000</c:v>
                </c:pt>
                <c:pt idx="84">
                  <c:v>250000</c:v>
                </c:pt>
                <c:pt idx="85">
                  <c:v>300000</c:v>
                </c:pt>
                <c:pt idx="86">
                  <c:v>350000</c:v>
                </c:pt>
                <c:pt idx="87">
                  <c:v>400000</c:v>
                </c:pt>
                <c:pt idx="88">
                  <c:v>450000</c:v>
                </c:pt>
                <c:pt idx="89">
                  <c:v>500000</c:v>
                </c:pt>
                <c:pt idx="90">
                  <c:v>550000</c:v>
                </c:pt>
                <c:pt idx="91">
                  <c:v>600000</c:v>
                </c:pt>
                <c:pt idx="92">
                  <c:v>650000</c:v>
                </c:pt>
                <c:pt idx="93">
                  <c:v>700000</c:v>
                </c:pt>
                <c:pt idx="94">
                  <c:v>750000</c:v>
                </c:pt>
                <c:pt idx="95">
                  <c:v>800000</c:v>
                </c:pt>
                <c:pt idx="96">
                  <c:v>850000</c:v>
                </c:pt>
                <c:pt idx="97">
                  <c:v>900000</c:v>
                </c:pt>
                <c:pt idx="98">
                  <c:v>950000</c:v>
                </c:pt>
                <c:pt idx="99">
                  <c:v>1000000</c:v>
                </c:pt>
                <c:pt idx="100">
                  <c:v>1500000</c:v>
                </c:pt>
                <c:pt idx="101">
                  <c:v>2000000</c:v>
                </c:pt>
                <c:pt idx="102">
                  <c:v>2500000</c:v>
                </c:pt>
                <c:pt idx="103">
                  <c:v>3000000</c:v>
                </c:pt>
                <c:pt idx="104">
                  <c:v>3500000</c:v>
                </c:pt>
                <c:pt idx="105">
                  <c:v>4000000</c:v>
                </c:pt>
                <c:pt idx="106">
                  <c:v>4500000</c:v>
                </c:pt>
                <c:pt idx="107">
                  <c:v>5000000</c:v>
                </c:pt>
                <c:pt idx="108">
                  <c:v>5500000</c:v>
                </c:pt>
                <c:pt idx="109">
                  <c:v>6000000</c:v>
                </c:pt>
                <c:pt idx="110">
                  <c:v>6500000</c:v>
                </c:pt>
                <c:pt idx="111">
                  <c:v>7000000</c:v>
                </c:pt>
                <c:pt idx="112">
                  <c:v>7500000</c:v>
                </c:pt>
                <c:pt idx="113">
                  <c:v>8000000</c:v>
                </c:pt>
                <c:pt idx="114">
                  <c:v>8500000</c:v>
                </c:pt>
                <c:pt idx="115">
                  <c:v>9000000</c:v>
                </c:pt>
                <c:pt idx="116">
                  <c:v>9500000</c:v>
                </c:pt>
                <c:pt idx="117">
                  <c:v>10000000</c:v>
                </c:pt>
                <c:pt idx="118">
                  <c:v>15000000</c:v>
                </c:pt>
                <c:pt idx="119">
                  <c:v>20000000</c:v>
                </c:pt>
                <c:pt idx="120">
                  <c:v>25000000</c:v>
                </c:pt>
                <c:pt idx="121">
                  <c:v>30000000</c:v>
                </c:pt>
                <c:pt idx="122">
                  <c:v>35000000</c:v>
                </c:pt>
                <c:pt idx="123">
                  <c:v>40000000</c:v>
                </c:pt>
                <c:pt idx="124">
                  <c:v>45000000</c:v>
                </c:pt>
                <c:pt idx="125">
                  <c:v>50000000</c:v>
                </c:pt>
                <c:pt idx="126">
                  <c:v>55000000</c:v>
                </c:pt>
                <c:pt idx="127">
                  <c:v>60000000</c:v>
                </c:pt>
                <c:pt idx="128">
                  <c:v>65000000</c:v>
                </c:pt>
                <c:pt idx="129">
                  <c:v>70000000</c:v>
                </c:pt>
                <c:pt idx="130">
                  <c:v>75000000</c:v>
                </c:pt>
                <c:pt idx="131">
                  <c:v>80000000</c:v>
                </c:pt>
                <c:pt idx="132">
                  <c:v>85000000</c:v>
                </c:pt>
                <c:pt idx="133">
                  <c:v>90000000</c:v>
                </c:pt>
                <c:pt idx="134">
                  <c:v>95000000</c:v>
                </c:pt>
                <c:pt idx="135">
                  <c:v>100000000</c:v>
                </c:pt>
                <c:pt idx="136">
                  <c:v>150000000</c:v>
                </c:pt>
                <c:pt idx="137">
                  <c:v>200000000</c:v>
                </c:pt>
                <c:pt idx="138">
                  <c:v>250000000</c:v>
                </c:pt>
                <c:pt idx="139">
                  <c:v>300000000</c:v>
                </c:pt>
                <c:pt idx="140">
                  <c:v>350000000</c:v>
                </c:pt>
                <c:pt idx="141">
                  <c:v>400000000</c:v>
                </c:pt>
                <c:pt idx="142">
                  <c:v>450000000</c:v>
                </c:pt>
                <c:pt idx="143">
                  <c:v>500000000</c:v>
                </c:pt>
                <c:pt idx="144">
                  <c:v>550000000</c:v>
                </c:pt>
                <c:pt idx="145">
                  <c:v>600000000</c:v>
                </c:pt>
                <c:pt idx="146">
                  <c:v>650000000</c:v>
                </c:pt>
                <c:pt idx="147">
                  <c:v>700000000</c:v>
                </c:pt>
                <c:pt idx="148">
                  <c:v>750000000</c:v>
                </c:pt>
                <c:pt idx="149">
                  <c:v>800000000</c:v>
                </c:pt>
                <c:pt idx="150">
                  <c:v>850000000</c:v>
                </c:pt>
                <c:pt idx="151">
                  <c:v>900000000</c:v>
                </c:pt>
                <c:pt idx="152">
                  <c:v>950000000</c:v>
                </c:pt>
                <c:pt idx="153">
                  <c:v>1000000000</c:v>
                </c:pt>
              </c:numCache>
            </c:numRef>
          </c:xVal>
          <c:yVal>
            <c:numRef>
              <c:f>'COUT Network Design'!$BA$29:$BA$182</c:f>
              <c:numCache>
                <c:formatCode>0.000000</c:formatCode>
                <c:ptCount val="154"/>
                <c:pt idx="0">
                  <c:v>42328442.311674252</c:v>
                </c:pt>
                <c:pt idx="1">
                  <c:v>21164221.155837055</c:v>
                </c:pt>
                <c:pt idx="2">
                  <c:v>14109480.770557957</c:v>
                </c:pt>
                <c:pt idx="3">
                  <c:v>10582110.577918386</c:v>
                </c:pt>
                <c:pt idx="4">
                  <c:v>8465688.4623346254</c:v>
                </c:pt>
                <c:pt idx="5">
                  <c:v>7054740.385278767</c:v>
                </c:pt>
                <c:pt idx="6">
                  <c:v>6046920.3302388554</c:v>
                </c:pt>
                <c:pt idx="7">
                  <c:v>5291055.2889589118</c:v>
                </c:pt>
                <c:pt idx="8">
                  <c:v>4703160.2568522766</c:v>
                </c:pt>
                <c:pt idx="9">
                  <c:v>4232844.2311669607</c:v>
                </c:pt>
                <c:pt idx="10">
                  <c:v>2821896.1541109155</c:v>
                </c:pt>
                <c:pt idx="11">
                  <c:v>2116422.1155827763</c:v>
                </c:pt>
                <c:pt idx="12">
                  <c:v>1693137.6924657982</c:v>
                </c:pt>
                <c:pt idx="13">
                  <c:v>1410948.0770544016</c:v>
                </c:pt>
                <c:pt idx="14">
                  <c:v>1209384.0660461944</c:v>
                </c:pt>
                <c:pt idx="15">
                  <c:v>1058211.05778998</c:v>
                </c:pt>
                <c:pt idx="16">
                  <c:v>940632.0513684277</c:v>
                </c:pt>
                <c:pt idx="17">
                  <c:v>846568.8462311388</c:v>
                </c:pt>
                <c:pt idx="18">
                  <c:v>769608.04202786006</c:v>
                </c:pt>
                <c:pt idx="19">
                  <c:v>705474.03852508857</c:v>
                </c:pt>
                <c:pt idx="20">
                  <c:v>651206.80479193816</c:v>
                </c:pt>
                <c:pt idx="21">
                  <c:v>604692.03302063292</c:v>
                </c:pt>
                <c:pt idx="22">
                  <c:v>564379.23081880354</c:v>
                </c:pt>
                <c:pt idx="23">
                  <c:v>529105.52889217366</c:v>
                </c:pt>
                <c:pt idx="24">
                  <c:v>497981.67425100197</c:v>
                </c:pt>
                <c:pt idx="25">
                  <c:v>470316.02568104549</c:v>
                </c:pt>
                <c:pt idx="26">
                  <c:v>445562.55064474378</c:v>
                </c:pt>
                <c:pt idx="27">
                  <c:v>423284.423112049</c:v>
                </c:pt>
                <c:pt idx="28">
                  <c:v>282189.61540412111</c:v>
                </c:pt>
                <c:pt idx="29">
                  <c:v>211642.21154898359</c:v>
                </c:pt>
                <c:pt idx="30">
                  <c:v>169313.76923496235</c:v>
                </c:pt>
                <c:pt idx="31">
                  <c:v>141094.80769149918</c:v>
                </c:pt>
                <c:pt idx="32">
                  <c:v>120938.40658835492</c:v>
                </c:pt>
                <c:pt idx="33">
                  <c:v>105821.10576040999</c:v>
                </c:pt>
                <c:pt idx="34">
                  <c:v>94063.205115931298</c:v>
                </c:pt>
                <c:pt idx="35">
                  <c:v>84656.884599878933</c:v>
                </c:pt>
                <c:pt idx="36">
                  <c:v>76960.804177227532</c:v>
                </c:pt>
                <c:pt idx="37">
                  <c:v>70547.403824626905</c:v>
                </c:pt>
                <c:pt idx="38">
                  <c:v>65120.680448988365</c:v>
                </c:pt>
                <c:pt idx="39">
                  <c:v>60469.203269534315</c:v>
                </c:pt>
                <c:pt idx="40">
                  <c:v>56437.9230470279</c:v>
                </c:pt>
                <c:pt idx="41">
                  <c:v>52910.552852041408</c:v>
                </c:pt>
                <c:pt idx="42">
                  <c:v>49798.167385600755</c:v>
                </c:pt>
                <c:pt idx="43">
                  <c:v>47031.602526281611</c:v>
                </c:pt>
                <c:pt idx="44">
                  <c:v>44556.255020327946</c:v>
                </c:pt>
                <c:pt idx="45">
                  <c:v>42328.442264734978</c:v>
                </c:pt>
                <c:pt idx="46">
                  <c:v>28218.961470707218</c:v>
                </c:pt>
                <c:pt idx="47">
                  <c:v>21164.221061958509</c:v>
                </c:pt>
                <c:pt idx="48">
                  <c:v>16931.376807321412</c:v>
                </c:pt>
                <c:pt idx="49">
                  <c:v>14109.480629740136</c:v>
                </c:pt>
                <c:pt idx="50">
                  <c:v>12093.840496190745</c:v>
                </c:pt>
                <c:pt idx="51">
                  <c:v>10582.11039016129</c:v>
                </c:pt>
                <c:pt idx="52">
                  <c:v>9406.3203024784525</c:v>
                </c:pt>
                <c:pt idx="53">
                  <c:v>8465.6882276382512</c:v>
                </c:pt>
                <c:pt idx="54">
                  <c:v>7696.0801621381515</c:v>
                </c:pt>
                <c:pt idx="55">
                  <c:v>7054.740103643122</c:v>
                </c:pt>
                <c:pt idx="56">
                  <c:v>6512.0677428443032</c:v>
                </c:pt>
                <c:pt idx="57">
                  <c:v>6046.920001663937</c:v>
                </c:pt>
                <c:pt idx="58">
                  <c:v>5643.7919561783301</c:v>
                </c:pt>
                <c:pt idx="59">
                  <c:v>5291.0549134447183</c:v>
                </c:pt>
                <c:pt idx="60">
                  <c:v>4979.816343565687</c:v>
                </c:pt>
                <c:pt idx="61">
                  <c:v>4703.1598343988089</c:v>
                </c:pt>
                <c:pt idx="62">
                  <c:v>4455.62506056848</c:v>
                </c:pt>
                <c:pt idx="63">
                  <c:v>4232.8437617742165</c:v>
                </c:pt>
                <c:pt idx="64">
                  <c:v>2821.8954500218015</c:v>
                </c:pt>
                <c:pt idx="65">
                  <c:v>2116.4211767972915</c:v>
                </c:pt>
                <c:pt idx="66">
                  <c:v>1693.1365189839439</c:v>
                </c:pt>
                <c:pt idx="67">
                  <c:v>1410.9466688761784</c:v>
                </c:pt>
                <c:pt idx="68">
                  <c:v>1209.3824231716026</c:v>
                </c:pt>
                <c:pt idx="69">
                  <c:v>1058.2091802190209</c:v>
                </c:pt>
                <c:pt idx="70">
                  <c:v>940.62993910110276</c:v>
                </c:pt>
                <c:pt idx="71">
                  <c:v>846.56649926744967</c:v>
                </c:pt>
                <c:pt idx="72">
                  <c:v>769.60546036780795</c:v>
                </c:pt>
                <c:pt idx="73">
                  <c:v>705.47122216867501</c:v>
                </c:pt>
                <c:pt idx="74">
                  <c:v>651.20375373916522</c:v>
                </c:pt>
                <c:pt idx="75">
                  <c:v>604.68874727150239</c:v>
                </c:pt>
                <c:pt idx="76">
                  <c:v>564.3757103733177</c:v>
                </c:pt>
                <c:pt idx="77">
                  <c:v>529.1017737503347</c:v>
                </c:pt>
                <c:pt idx="78">
                  <c:v>497.97768441281261</c:v>
                </c:pt>
                <c:pt idx="79">
                  <c:v>470.31180114650812</c:v>
                </c:pt>
                <c:pt idx="80">
                  <c:v>445.55809141386158</c:v>
                </c:pt>
                <c:pt idx="81">
                  <c:v>423.27972918482442</c:v>
                </c:pt>
                <c:pt idx="82">
                  <c:v>282.18257451366873</c:v>
                </c:pt>
                <c:pt idx="83">
                  <c:v>211.63282369576507</c:v>
                </c:pt>
                <c:pt idx="84">
                  <c:v>169.30203441959284</c:v>
                </c:pt>
                <c:pt idx="85">
                  <c:v>141.08072591474794</c:v>
                </c:pt>
                <c:pt idx="86">
                  <c:v>120.92197785114514</c:v>
                </c:pt>
                <c:pt idx="87">
                  <c:v>105.80233006381876</c:v>
                </c:pt>
                <c:pt idx="88">
                  <c:v>94.042082461189807</c:v>
                </c:pt>
                <c:pt idx="89">
                  <c:v>84.633414988372493</c:v>
                </c:pt>
                <c:pt idx="90">
                  <c:v>76.934987610495668</c:v>
                </c:pt>
                <c:pt idx="91">
                  <c:v>70.519240304363365</c:v>
                </c:pt>
                <c:pt idx="92">
                  <c:v>65.090169977041327</c:v>
                </c:pt>
                <c:pt idx="93">
                  <c:v>60.436345847906416</c:v>
                </c:pt>
                <c:pt idx="94">
                  <c:v>56.402718677876337</c:v>
                </c:pt>
                <c:pt idx="95">
                  <c:v>52.873001537678093</c:v>
                </c:pt>
                <c:pt idx="96">
                  <c:v>49.758269128492451</c:v>
                </c:pt>
                <c:pt idx="97">
                  <c:v>46.989357329050044</c:v>
                </c:pt>
                <c:pt idx="98">
                  <c:v>44.511662885749985</c:v>
                </c:pt>
                <c:pt idx="99">
                  <c:v>42.281503195742708</c:v>
                </c:pt>
                <c:pt idx="100">
                  <c:v>28.148553253126451</c:v>
                </c:pt>
                <c:pt idx="101">
                  <c:v>21.070344161285497</c:v>
                </c:pt>
                <c:pt idx="102">
                  <c:v>16.814031848259937</c:v>
                </c:pt>
                <c:pt idx="103">
                  <c:v>13.96866839972706</c:v>
                </c:pt>
                <c:pt idx="104">
                  <c:v>11.929561949880755</c:v>
                </c:pt>
                <c:pt idx="105">
                  <c:v>10.394366654924792</c:v>
                </c:pt>
                <c:pt idx="106">
                  <c:v>9.1951126849799838</c:v>
                </c:pt>
                <c:pt idx="107">
                  <c:v>8.2310182215773278</c:v>
                </c:pt>
                <c:pt idx="108">
                  <c:v>7.4379494572509888</c:v>
                </c:pt>
                <c:pt idx="109">
                  <c:v>6.7731505960821776</c:v>
                </c:pt>
                <c:pt idx="110">
                  <c:v>6.2070215470739347</c:v>
                </c:pt>
                <c:pt idx="111">
                  <c:v>5.7184194640349988</c:v>
                </c:pt>
                <c:pt idx="112">
                  <c:v>5.2918396703730011</c:v>
                </c:pt>
                <c:pt idx="113">
                  <c:v>4.9156537380161422</c:v>
                </c:pt>
                <c:pt idx="114">
                  <c:v>4.5809694218361718</c:v>
                </c:pt>
                <c:pt idx="115">
                  <c:v>4.2808706170265109</c:v>
                </c:pt>
                <c:pt idx="116">
                  <c:v>4.0098973311475605</c:v>
                </c:pt>
                <c:pt idx="117">
                  <c:v>3.7636816658989947</c:v>
                </c:pt>
                <c:pt idx="118">
                  <c:v>2.1187283745840193</c:v>
                </c:pt>
                <c:pt idx="119">
                  <c:v>1.1805804781133</c:v>
                </c:pt>
                <c:pt idx="120">
                  <c:v>0.52999213430758896</c:v>
                </c:pt>
                <c:pt idx="121">
                  <c:v>0.12503065720223455</c:v>
                </c:pt>
                <c:pt idx="122">
                  <c:v>0.45736509500943934</c:v>
                </c:pt>
                <c:pt idx="123">
                  <c:v>0.83614085242707259</c:v>
                </c:pt>
                <c:pt idx="124">
                  <c:v>1.1865455992856866</c:v>
                </c:pt>
                <c:pt idx="125">
                  <c:v>1.5147919279221809</c:v>
                </c:pt>
                <c:pt idx="126">
                  <c:v>1.8264882511863347</c:v>
                </c:pt>
                <c:pt idx="127">
                  <c:v>2.1256378999706396</c:v>
                </c:pt>
                <c:pt idx="128">
                  <c:v>2.4150830802001844</c:v>
                </c:pt>
                <c:pt idx="129">
                  <c:v>2.6968786781900209</c:v>
                </c:pt>
                <c:pt idx="130">
                  <c:v>2.9725418893910742</c:v>
                </c:pt>
                <c:pt idx="131">
                  <c:v>3.2432154254920005</c:v>
                </c:pt>
                <c:pt idx="132">
                  <c:v>3.5097755911577928</c:v>
                </c:pt>
                <c:pt idx="133">
                  <c:v>3.7729053106159558</c:v>
                </c:pt>
                <c:pt idx="134">
                  <c:v>4.033144520268948</c:v>
                </c:pt>
                <c:pt idx="135">
                  <c:v>4.2909256464283621</c:v>
                </c:pt>
                <c:pt idx="136">
                  <c:v>6.7875449580413916</c:v>
                </c:pt>
                <c:pt idx="137">
                  <c:v>9.2139836842372276</c:v>
                </c:pt>
                <c:pt idx="138">
                  <c:v>11.612331477384203</c:v>
                </c:pt>
                <c:pt idx="139">
                  <c:v>13.996630314639781</c:v>
                </c:pt>
                <c:pt idx="140">
                  <c:v>16.372900192118983</c:v>
                </c:pt>
                <c:pt idx="141">
                  <c:v>18.744151617064919</c:v>
                </c:pt>
                <c:pt idx="142">
                  <c:v>21.112057259041972</c:v>
                </c:pt>
                <c:pt idx="143">
                  <c:v>23.477620783360116</c:v>
                </c:pt>
                <c:pt idx="144">
                  <c:v>25.841480913686048</c:v>
                </c:pt>
                <c:pt idx="145">
                  <c:v>28.204063478908509</c:v>
                </c:pt>
                <c:pt idx="146">
                  <c:v>30.565663290356639</c:v>
                </c:pt>
                <c:pt idx="147">
                  <c:v>32.926490931201918</c:v>
                </c:pt>
                <c:pt idx="148">
                  <c:v>35.286700831190004</c:v>
                </c:pt>
                <c:pt idx="149">
                  <c:v>37.646408813874217</c:v>
                </c:pt>
                <c:pt idx="150">
                  <c:v>40.005703450976085</c:v>
                </c:pt>
                <c:pt idx="151">
                  <c:v>42.364653632102886</c:v>
                </c:pt>
                <c:pt idx="152">
                  <c:v>44.723313744108296</c:v>
                </c:pt>
                <c:pt idx="153">
                  <c:v>47.081727296691305</c:v>
                </c:pt>
              </c:numCache>
            </c:numRef>
          </c:yVal>
          <c:smooth val="1"/>
          <c:extLst>
            <c:ext xmlns:c16="http://schemas.microsoft.com/office/drawing/2014/chart" uri="{C3380CC4-5D6E-409C-BE32-E72D297353CC}">
              <c16:uniqueId val="{00000003-2F3B-4CCE-BBDD-AC13E4060BB3}"/>
            </c:ext>
          </c:extLst>
        </c:ser>
        <c:ser>
          <c:idx val="4"/>
          <c:order val="6"/>
          <c:tx>
            <c:strRef>
              <c:f>'COUT Network Design'!$AB$28</c:f>
              <c:strCache>
                <c:ptCount val="1"/>
                <c:pt idx="0">
                  <c:v>ZOUT(MIN)</c:v>
                </c:pt>
              </c:strCache>
            </c:strRef>
          </c:tx>
          <c:spPr>
            <a:ln w="25400" cap="rnd">
              <a:solidFill>
                <a:schemeClr val="tx1"/>
              </a:solidFill>
              <a:prstDash val="sysDash"/>
              <a:round/>
            </a:ln>
            <a:effectLst/>
          </c:spPr>
          <c:marker>
            <c:symbol val="none"/>
          </c:marker>
          <c:xVal>
            <c:numRef>
              <c:f>'COUT Network Design'!$Z$29:$Z$182</c:f>
              <c:numCache>
                <c:formatCode>#,##0</c:formatCode>
                <c:ptCount val="154"/>
                <c:pt idx="0">
                  <c:v>1</c:v>
                </c:pt>
                <c:pt idx="1">
                  <c:v>2</c:v>
                </c:pt>
                <c:pt idx="2">
                  <c:v>3</c:v>
                </c:pt>
                <c:pt idx="3">
                  <c:v>4</c:v>
                </c:pt>
                <c:pt idx="4">
                  <c:v>5</c:v>
                </c:pt>
                <c:pt idx="5">
                  <c:v>6</c:v>
                </c:pt>
                <c:pt idx="6">
                  <c:v>7</c:v>
                </c:pt>
                <c:pt idx="7">
                  <c:v>8</c:v>
                </c:pt>
                <c:pt idx="8">
                  <c:v>9</c:v>
                </c:pt>
                <c:pt idx="9">
                  <c:v>10</c:v>
                </c:pt>
                <c:pt idx="10">
                  <c:v>15</c:v>
                </c:pt>
                <c:pt idx="11">
                  <c:v>20</c:v>
                </c:pt>
                <c:pt idx="12">
                  <c:v>25</c:v>
                </c:pt>
                <c:pt idx="13">
                  <c:v>30</c:v>
                </c:pt>
                <c:pt idx="14">
                  <c:v>35</c:v>
                </c:pt>
                <c:pt idx="15">
                  <c:v>40</c:v>
                </c:pt>
                <c:pt idx="16">
                  <c:v>45</c:v>
                </c:pt>
                <c:pt idx="17">
                  <c:v>50</c:v>
                </c:pt>
                <c:pt idx="18">
                  <c:v>55</c:v>
                </c:pt>
                <c:pt idx="19">
                  <c:v>60</c:v>
                </c:pt>
                <c:pt idx="20">
                  <c:v>65</c:v>
                </c:pt>
                <c:pt idx="21">
                  <c:v>70</c:v>
                </c:pt>
                <c:pt idx="22">
                  <c:v>75</c:v>
                </c:pt>
                <c:pt idx="23">
                  <c:v>80</c:v>
                </c:pt>
                <c:pt idx="24">
                  <c:v>85</c:v>
                </c:pt>
                <c:pt idx="25">
                  <c:v>90</c:v>
                </c:pt>
                <c:pt idx="26">
                  <c:v>95</c:v>
                </c:pt>
                <c:pt idx="27">
                  <c:v>100</c:v>
                </c:pt>
                <c:pt idx="28">
                  <c:v>150</c:v>
                </c:pt>
                <c:pt idx="29">
                  <c:v>200</c:v>
                </c:pt>
                <c:pt idx="30">
                  <c:v>250</c:v>
                </c:pt>
                <c:pt idx="31">
                  <c:v>300</c:v>
                </c:pt>
                <c:pt idx="32">
                  <c:v>350</c:v>
                </c:pt>
                <c:pt idx="33">
                  <c:v>400</c:v>
                </c:pt>
                <c:pt idx="34">
                  <c:v>450</c:v>
                </c:pt>
                <c:pt idx="35">
                  <c:v>500</c:v>
                </c:pt>
                <c:pt idx="36">
                  <c:v>550</c:v>
                </c:pt>
                <c:pt idx="37">
                  <c:v>600</c:v>
                </c:pt>
                <c:pt idx="38">
                  <c:v>650</c:v>
                </c:pt>
                <c:pt idx="39">
                  <c:v>700</c:v>
                </c:pt>
                <c:pt idx="40">
                  <c:v>750</c:v>
                </c:pt>
                <c:pt idx="41">
                  <c:v>800</c:v>
                </c:pt>
                <c:pt idx="42">
                  <c:v>850</c:v>
                </c:pt>
                <c:pt idx="43">
                  <c:v>900</c:v>
                </c:pt>
                <c:pt idx="44">
                  <c:v>950</c:v>
                </c:pt>
                <c:pt idx="45">
                  <c:v>1000</c:v>
                </c:pt>
                <c:pt idx="46">
                  <c:v>1500</c:v>
                </c:pt>
                <c:pt idx="47">
                  <c:v>2000</c:v>
                </c:pt>
                <c:pt idx="48">
                  <c:v>2500</c:v>
                </c:pt>
                <c:pt idx="49">
                  <c:v>3000</c:v>
                </c:pt>
                <c:pt idx="50">
                  <c:v>3500</c:v>
                </c:pt>
                <c:pt idx="51">
                  <c:v>4000</c:v>
                </c:pt>
                <c:pt idx="52">
                  <c:v>4500</c:v>
                </c:pt>
                <c:pt idx="53">
                  <c:v>5000</c:v>
                </c:pt>
                <c:pt idx="54">
                  <c:v>5500</c:v>
                </c:pt>
                <c:pt idx="55">
                  <c:v>6000</c:v>
                </c:pt>
                <c:pt idx="56">
                  <c:v>6500</c:v>
                </c:pt>
                <c:pt idx="57">
                  <c:v>7000</c:v>
                </c:pt>
                <c:pt idx="58">
                  <c:v>7500</c:v>
                </c:pt>
                <c:pt idx="59">
                  <c:v>8000</c:v>
                </c:pt>
                <c:pt idx="60">
                  <c:v>8500</c:v>
                </c:pt>
                <c:pt idx="61">
                  <c:v>9000</c:v>
                </c:pt>
                <c:pt idx="62">
                  <c:v>9500</c:v>
                </c:pt>
                <c:pt idx="63">
                  <c:v>10000</c:v>
                </c:pt>
                <c:pt idx="64">
                  <c:v>15000</c:v>
                </c:pt>
                <c:pt idx="65">
                  <c:v>20000</c:v>
                </c:pt>
                <c:pt idx="66">
                  <c:v>25000</c:v>
                </c:pt>
                <c:pt idx="67">
                  <c:v>30000</c:v>
                </c:pt>
                <c:pt idx="68">
                  <c:v>35000</c:v>
                </c:pt>
                <c:pt idx="69">
                  <c:v>40000</c:v>
                </c:pt>
                <c:pt idx="70">
                  <c:v>45000</c:v>
                </c:pt>
                <c:pt idx="71">
                  <c:v>50000</c:v>
                </c:pt>
                <c:pt idx="72">
                  <c:v>55000</c:v>
                </c:pt>
                <c:pt idx="73">
                  <c:v>60000</c:v>
                </c:pt>
                <c:pt idx="74">
                  <c:v>65000</c:v>
                </c:pt>
                <c:pt idx="75">
                  <c:v>70000</c:v>
                </c:pt>
                <c:pt idx="76">
                  <c:v>75000</c:v>
                </c:pt>
                <c:pt idx="77">
                  <c:v>80000</c:v>
                </c:pt>
                <c:pt idx="78">
                  <c:v>85000</c:v>
                </c:pt>
                <c:pt idx="79">
                  <c:v>90000</c:v>
                </c:pt>
                <c:pt idx="80">
                  <c:v>95000</c:v>
                </c:pt>
                <c:pt idx="81">
                  <c:v>100000</c:v>
                </c:pt>
                <c:pt idx="82">
                  <c:v>150000</c:v>
                </c:pt>
                <c:pt idx="83">
                  <c:v>200000</c:v>
                </c:pt>
                <c:pt idx="84">
                  <c:v>250000</c:v>
                </c:pt>
                <c:pt idx="85">
                  <c:v>300000</c:v>
                </c:pt>
                <c:pt idx="86">
                  <c:v>350000</c:v>
                </c:pt>
                <c:pt idx="87">
                  <c:v>400000</c:v>
                </c:pt>
                <c:pt idx="88">
                  <c:v>450000</c:v>
                </c:pt>
                <c:pt idx="89">
                  <c:v>500000</c:v>
                </c:pt>
                <c:pt idx="90">
                  <c:v>550000</c:v>
                </c:pt>
                <c:pt idx="91">
                  <c:v>600000</c:v>
                </c:pt>
                <c:pt idx="92">
                  <c:v>650000</c:v>
                </c:pt>
                <c:pt idx="93">
                  <c:v>700000</c:v>
                </c:pt>
                <c:pt idx="94">
                  <c:v>750000</c:v>
                </c:pt>
                <c:pt idx="95">
                  <c:v>800000</c:v>
                </c:pt>
                <c:pt idx="96">
                  <c:v>850000</c:v>
                </c:pt>
                <c:pt idx="97">
                  <c:v>900000</c:v>
                </c:pt>
                <c:pt idx="98">
                  <c:v>950000</c:v>
                </c:pt>
                <c:pt idx="99">
                  <c:v>1000000</c:v>
                </c:pt>
                <c:pt idx="100">
                  <c:v>1500000</c:v>
                </c:pt>
                <c:pt idx="101">
                  <c:v>2000000</c:v>
                </c:pt>
                <c:pt idx="102">
                  <c:v>2500000</c:v>
                </c:pt>
                <c:pt idx="103">
                  <c:v>3000000</c:v>
                </c:pt>
                <c:pt idx="104">
                  <c:v>3500000</c:v>
                </c:pt>
                <c:pt idx="105">
                  <c:v>4000000</c:v>
                </c:pt>
                <c:pt idx="106">
                  <c:v>4500000</c:v>
                </c:pt>
                <c:pt idx="107">
                  <c:v>5000000</c:v>
                </c:pt>
                <c:pt idx="108">
                  <c:v>5500000</c:v>
                </c:pt>
                <c:pt idx="109">
                  <c:v>6000000</c:v>
                </c:pt>
                <c:pt idx="110">
                  <c:v>6500000</c:v>
                </c:pt>
                <c:pt idx="111">
                  <c:v>7000000</c:v>
                </c:pt>
                <c:pt idx="112">
                  <c:v>7500000</c:v>
                </c:pt>
                <c:pt idx="113">
                  <c:v>8000000</c:v>
                </c:pt>
                <c:pt idx="114">
                  <c:v>8500000</c:v>
                </c:pt>
                <c:pt idx="115">
                  <c:v>9000000</c:v>
                </c:pt>
                <c:pt idx="116">
                  <c:v>9500000</c:v>
                </c:pt>
                <c:pt idx="117">
                  <c:v>10000000</c:v>
                </c:pt>
                <c:pt idx="118">
                  <c:v>15000000</c:v>
                </c:pt>
                <c:pt idx="119">
                  <c:v>20000000</c:v>
                </c:pt>
                <c:pt idx="120">
                  <c:v>25000000</c:v>
                </c:pt>
                <c:pt idx="121">
                  <c:v>30000000</c:v>
                </c:pt>
                <c:pt idx="122">
                  <c:v>35000000</c:v>
                </c:pt>
                <c:pt idx="123">
                  <c:v>40000000</c:v>
                </c:pt>
                <c:pt idx="124">
                  <c:v>45000000</c:v>
                </c:pt>
                <c:pt idx="125">
                  <c:v>50000000</c:v>
                </c:pt>
                <c:pt idx="126">
                  <c:v>55000000</c:v>
                </c:pt>
                <c:pt idx="127">
                  <c:v>60000000</c:v>
                </c:pt>
                <c:pt idx="128">
                  <c:v>65000000</c:v>
                </c:pt>
                <c:pt idx="129">
                  <c:v>70000000</c:v>
                </c:pt>
                <c:pt idx="130">
                  <c:v>75000000</c:v>
                </c:pt>
                <c:pt idx="131">
                  <c:v>80000000</c:v>
                </c:pt>
                <c:pt idx="132">
                  <c:v>85000000</c:v>
                </c:pt>
                <c:pt idx="133">
                  <c:v>90000000</c:v>
                </c:pt>
                <c:pt idx="134">
                  <c:v>95000000</c:v>
                </c:pt>
                <c:pt idx="135">
                  <c:v>100000000</c:v>
                </c:pt>
                <c:pt idx="136">
                  <c:v>150000000</c:v>
                </c:pt>
                <c:pt idx="137">
                  <c:v>200000000</c:v>
                </c:pt>
                <c:pt idx="138">
                  <c:v>250000000</c:v>
                </c:pt>
                <c:pt idx="139">
                  <c:v>300000000</c:v>
                </c:pt>
                <c:pt idx="140">
                  <c:v>350000000</c:v>
                </c:pt>
                <c:pt idx="141">
                  <c:v>400000000</c:v>
                </c:pt>
                <c:pt idx="142">
                  <c:v>450000000</c:v>
                </c:pt>
                <c:pt idx="143">
                  <c:v>500000000</c:v>
                </c:pt>
                <c:pt idx="144">
                  <c:v>550000000</c:v>
                </c:pt>
                <c:pt idx="145">
                  <c:v>600000000</c:v>
                </c:pt>
                <c:pt idx="146">
                  <c:v>650000000</c:v>
                </c:pt>
                <c:pt idx="147">
                  <c:v>700000000</c:v>
                </c:pt>
                <c:pt idx="148">
                  <c:v>750000000</c:v>
                </c:pt>
                <c:pt idx="149">
                  <c:v>800000000</c:v>
                </c:pt>
                <c:pt idx="150">
                  <c:v>850000000</c:v>
                </c:pt>
                <c:pt idx="151">
                  <c:v>900000000</c:v>
                </c:pt>
                <c:pt idx="152">
                  <c:v>950000000</c:v>
                </c:pt>
                <c:pt idx="153">
                  <c:v>1000000000</c:v>
                </c:pt>
              </c:numCache>
            </c:numRef>
          </c:xVal>
          <c:yVal>
            <c:numRef>
              <c:f>'COUT Network Design'!$AB$29:$AB$182</c:f>
              <c:numCache>
                <c:formatCode>0.00000</c:formatCode>
                <c:ptCount val="154"/>
                <c:pt idx="0">
                  <c:v>0.79935871743486953</c:v>
                </c:pt>
                <c:pt idx="1">
                  <c:v>0.79935871743486953</c:v>
                </c:pt>
                <c:pt idx="2">
                  <c:v>0.79935871743486953</c:v>
                </c:pt>
                <c:pt idx="3">
                  <c:v>0.79935871743486953</c:v>
                </c:pt>
                <c:pt idx="4">
                  <c:v>0.79935871743486953</c:v>
                </c:pt>
                <c:pt idx="5">
                  <c:v>0.79935871743486953</c:v>
                </c:pt>
                <c:pt idx="6">
                  <c:v>0.79935871743486953</c:v>
                </c:pt>
                <c:pt idx="7">
                  <c:v>0.79935871743486953</c:v>
                </c:pt>
                <c:pt idx="8">
                  <c:v>0.79935871743486953</c:v>
                </c:pt>
                <c:pt idx="9">
                  <c:v>0.79935871743486953</c:v>
                </c:pt>
                <c:pt idx="10">
                  <c:v>0.79935871743486953</c:v>
                </c:pt>
                <c:pt idx="11">
                  <c:v>0.79935871743486953</c:v>
                </c:pt>
                <c:pt idx="12">
                  <c:v>0.79935871743486953</c:v>
                </c:pt>
                <c:pt idx="13">
                  <c:v>0.79935871743486953</c:v>
                </c:pt>
                <c:pt idx="14">
                  <c:v>0.79935871743486953</c:v>
                </c:pt>
                <c:pt idx="15">
                  <c:v>0.79935871743486953</c:v>
                </c:pt>
                <c:pt idx="16">
                  <c:v>0.79935871743486953</c:v>
                </c:pt>
                <c:pt idx="17">
                  <c:v>0.79935871743486953</c:v>
                </c:pt>
                <c:pt idx="18">
                  <c:v>0.79935871743486953</c:v>
                </c:pt>
                <c:pt idx="19">
                  <c:v>0.79935871743486953</c:v>
                </c:pt>
                <c:pt idx="20">
                  <c:v>0.79935871743486953</c:v>
                </c:pt>
                <c:pt idx="21">
                  <c:v>0.79935871743486953</c:v>
                </c:pt>
                <c:pt idx="22">
                  <c:v>0.79935871743486953</c:v>
                </c:pt>
                <c:pt idx="23">
                  <c:v>0.79935871743486953</c:v>
                </c:pt>
                <c:pt idx="24">
                  <c:v>0.79935871743486953</c:v>
                </c:pt>
                <c:pt idx="25">
                  <c:v>0.79935871743486953</c:v>
                </c:pt>
                <c:pt idx="26">
                  <c:v>0.79935871743486953</c:v>
                </c:pt>
                <c:pt idx="27">
                  <c:v>0.79935871743486953</c:v>
                </c:pt>
                <c:pt idx="28">
                  <c:v>0.79935871743486953</c:v>
                </c:pt>
                <c:pt idx="29">
                  <c:v>0.79935871743486953</c:v>
                </c:pt>
                <c:pt idx="30">
                  <c:v>0.79935871743486953</c:v>
                </c:pt>
                <c:pt idx="31">
                  <c:v>0.79935871743486953</c:v>
                </c:pt>
                <c:pt idx="32">
                  <c:v>0.79935871743486953</c:v>
                </c:pt>
                <c:pt idx="33">
                  <c:v>0.79935871743486953</c:v>
                </c:pt>
                <c:pt idx="34">
                  <c:v>0.79935871743486953</c:v>
                </c:pt>
                <c:pt idx="35">
                  <c:v>0.79935871743486953</c:v>
                </c:pt>
                <c:pt idx="36">
                  <c:v>0.79935871743486953</c:v>
                </c:pt>
                <c:pt idx="37">
                  <c:v>0.79935871743486953</c:v>
                </c:pt>
                <c:pt idx="38">
                  <c:v>0.79935871743486953</c:v>
                </c:pt>
                <c:pt idx="39">
                  <c:v>0.79935871743486953</c:v>
                </c:pt>
                <c:pt idx="40">
                  <c:v>0.79935871743486953</c:v>
                </c:pt>
                <c:pt idx="41">
                  <c:v>0.79935871743486953</c:v>
                </c:pt>
                <c:pt idx="42">
                  <c:v>0.79935871743486953</c:v>
                </c:pt>
                <c:pt idx="43">
                  <c:v>0.79935871743486953</c:v>
                </c:pt>
                <c:pt idx="44">
                  <c:v>0.79935871743486953</c:v>
                </c:pt>
                <c:pt idx="45">
                  <c:v>0.79935871743486953</c:v>
                </c:pt>
                <c:pt idx="46">
                  <c:v>0.79935871743486953</c:v>
                </c:pt>
                <c:pt idx="47">
                  <c:v>0.79935871743486953</c:v>
                </c:pt>
                <c:pt idx="48">
                  <c:v>0.79935871743486953</c:v>
                </c:pt>
                <c:pt idx="49">
                  <c:v>0.79935871743486953</c:v>
                </c:pt>
                <c:pt idx="50">
                  <c:v>0.79935871743486953</c:v>
                </c:pt>
                <c:pt idx="51">
                  <c:v>0.79935871743486953</c:v>
                </c:pt>
                <c:pt idx="52">
                  <c:v>0.79935871743486953</c:v>
                </c:pt>
                <c:pt idx="53">
                  <c:v>0.79935871743486953</c:v>
                </c:pt>
                <c:pt idx="54">
                  <c:v>0.79935871743486953</c:v>
                </c:pt>
                <c:pt idx="55">
                  <c:v>0.79935871743486953</c:v>
                </c:pt>
                <c:pt idx="56">
                  <c:v>0.79935871743486953</c:v>
                </c:pt>
                <c:pt idx="57">
                  <c:v>0.79935871743486953</c:v>
                </c:pt>
                <c:pt idx="58">
                  <c:v>0.79935871743486953</c:v>
                </c:pt>
                <c:pt idx="59">
                  <c:v>0.79935871743486953</c:v>
                </c:pt>
                <c:pt idx="60">
                  <c:v>0.79935871743486953</c:v>
                </c:pt>
                <c:pt idx="61">
                  <c:v>0.79935871743486953</c:v>
                </c:pt>
                <c:pt idx="62">
                  <c:v>0.79935871743486953</c:v>
                </c:pt>
                <c:pt idx="63">
                  <c:v>0.79935871743486953</c:v>
                </c:pt>
                <c:pt idx="64">
                  <c:v>0.79935871743486953</c:v>
                </c:pt>
                <c:pt idx="65">
                  <c:v>0.79935871743486953</c:v>
                </c:pt>
                <c:pt idx="66">
                  <c:v>0.79935871743486953</c:v>
                </c:pt>
                <c:pt idx="67">
                  <c:v>0.79935871743486953</c:v>
                </c:pt>
                <c:pt idx="68">
                  <c:v>0.79935871743486953</c:v>
                </c:pt>
                <c:pt idx="69">
                  <c:v>0.79935871743486953</c:v>
                </c:pt>
                <c:pt idx="70">
                  <c:v>0.79935871743486953</c:v>
                </c:pt>
                <c:pt idx="71">
                  <c:v>0.79935871743486953</c:v>
                </c:pt>
                <c:pt idx="72">
                  <c:v>0.79935871743486953</c:v>
                </c:pt>
                <c:pt idx="73">
                  <c:v>0.79935871743486953</c:v>
                </c:pt>
                <c:pt idx="74">
                  <c:v>0.79935871743486953</c:v>
                </c:pt>
                <c:pt idx="75">
                  <c:v>0.79935871743486953</c:v>
                </c:pt>
                <c:pt idx="76">
                  <c:v>0.79935871743486953</c:v>
                </c:pt>
                <c:pt idx="77">
                  <c:v>0.79935871743486953</c:v>
                </c:pt>
                <c:pt idx="78">
                  <c:v>0.79935871743486953</c:v>
                </c:pt>
                <c:pt idx="79">
                  <c:v>0.79935871743486953</c:v>
                </c:pt>
                <c:pt idx="80">
                  <c:v>0.79935871743486953</c:v>
                </c:pt>
                <c:pt idx="81">
                  <c:v>0.79935871743486953</c:v>
                </c:pt>
                <c:pt idx="82">
                  <c:v>0.79935871743486953</c:v>
                </c:pt>
                <c:pt idx="83">
                  <c:v>0.79935871743486953</c:v>
                </c:pt>
                <c:pt idx="84">
                  <c:v>0.79935871743486953</c:v>
                </c:pt>
                <c:pt idx="85">
                  <c:v>0.79935871743486953</c:v>
                </c:pt>
                <c:pt idx="86">
                  <c:v>0.79935871743486953</c:v>
                </c:pt>
                <c:pt idx="87">
                  <c:v>0.79935871743486953</c:v>
                </c:pt>
                <c:pt idx="88">
                  <c:v>0.79935871743486953</c:v>
                </c:pt>
                <c:pt idx="89">
                  <c:v>0.79935871743486953</c:v>
                </c:pt>
                <c:pt idx="90">
                  <c:v>0.79935871743486953</c:v>
                </c:pt>
                <c:pt idx="91">
                  <c:v>0.79935871743486953</c:v>
                </c:pt>
                <c:pt idx="92">
                  <c:v>0.79935871743486953</c:v>
                </c:pt>
                <c:pt idx="93">
                  <c:v>0.79935871743486953</c:v>
                </c:pt>
                <c:pt idx="94">
                  <c:v>0.79935871743486953</c:v>
                </c:pt>
                <c:pt idx="95">
                  <c:v>0.79935871743486953</c:v>
                </c:pt>
                <c:pt idx="96">
                  <c:v>0.79935871743486953</c:v>
                </c:pt>
                <c:pt idx="97">
                  <c:v>0.79935871743486953</c:v>
                </c:pt>
                <c:pt idx="98">
                  <c:v>0.79935871743486953</c:v>
                </c:pt>
                <c:pt idx="99">
                  <c:v>0.79935871743486953</c:v>
                </c:pt>
                <c:pt idx="100">
                  <c:v>0.79935871743486953</c:v>
                </c:pt>
                <c:pt idx="101">
                  <c:v>0.79935871743486953</c:v>
                </c:pt>
                <c:pt idx="102">
                  <c:v>0.79935871743486953</c:v>
                </c:pt>
                <c:pt idx="103">
                  <c:v>0.79935871743486953</c:v>
                </c:pt>
                <c:pt idx="104">
                  <c:v>0.79935871743486953</c:v>
                </c:pt>
                <c:pt idx="105">
                  <c:v>0.79935871743486953</c:v>
                </c:pt>
                <c:pt idx="106">
                  <c:v>0.79935871743486953</c:v>
                </c:pt>
                <c:pt idx="107">
                  <c:v>0.79935871743486953</c:v>
                </c:pt>
                <c:pt idx="108">
                  <c:v>0.79935871743486953</c:v>
                </c:pt>
                <c:pt idx="109">
                  <c:v>0.79935871743486953</c:v>
                </c:pt>
                <c:pt idx="110">
                  <c:v>0.79935871743486953</c:v>
                </c:pt>
                <c:pt idx="111">
                  <c:v>0.79935871743486953</c:v>
                </c:pt>
                <c:pt idx="112">
                  <c:v>0.79935871743486953</c:v>
                </c:pt>
                <c:pt idx="113">
                  <c:v>0.79935871743486953</c:v>
                </c:pt>
                <c:pt idx="114">
                  <c:v>0.79935871743486953</c:v>
                </c:pt>
                <c:pt idx="115">
                  <c:v>0.79935871743486953</c:v>
                </c:pt>
                <c:pt idx="116">
                  <c:v>0.79935871743486953</c:v>
                </c:pt>
                <c:pt idx="117">
                  <c:v>0.79935871743486953</c:v>
                </c:pt>
                <c:pt idx="118">
                  <c:v>0.79935871743486953</c:v>
                </c:pt>
                <c:pt idx="119">
                  <c:v>0.79935871743486953</c:v>
                </c:pt>
                <c:pt idx="120">
                  <c:v>0.79935871743486953</c:v>
                </c:pt>
                <c:pt idx="121">
                  <c:v>0.79935871743486953</c:v>
                </c:pt>
                <c:pt idx="122">
                  <c:v>0.79935871743486953</c:v>
                </c:pt>
                <c:pt idx="123">
                  <c:v>0.79935871743486953</c:v>
                </c:pt>
                <c:pt idx="124">
                  <c:v>0.79935871743486953</c:v>
                </c:pt>
                <c:pt idx="125">
                  <c:v>0.79935871743486953</c:v>
                </c:pt>
                <c:pt idx="126">
                  <c:v>0.79935871743486953</c:v>
                </c:pt>
                <c:pt idx="127">
                  <c:v>0.79935871743486953</c:v>
                </c:pt>
                <c:pt idx="128">
                  <c:v>0.79935871743486953</c:v>
                </c:pt>
                <c:pt idx="129">
                  <c:v>0.79935871743486953</c:v>
                </c:pt>
                <c:pt idx="130">
                  <c:v>0.79935871743486953</c:v>
                </c:pt>
                <c:pt idx="131">
                  <c:v>0.79935871743486953</c:v>
                </c:pt>
                <c:pt idx="132">
                  <c:v>0.79935871743486953</c:v>
                </c:pt>
                <c:pt idx="133">
                  <c:v>0.79935871743486953</c:v>
                </c:pt>
                <c:pt idx="134">
                  <c:v>0.79935871743486953</c:v>
                </c:pt>
                <c:pt idx="135">
                  <c:v>0.79935871743486953</c:v>
                </c:pt>
                <c:pt idx="136">
                  <c:v>0.79935871743486953</c:v>
                </c:pt>
                <c:pt idx="137">
                  <c:v>0.79935871743486953</c:v>
                </c:pt>
                <c:pt idx="138">
                  <c:v>0.79935871743486953</c:v>
                </c:pt>
                <c:pt idx="139">
                  <c:v>0.79935871743486953</c:v>
                </c:pt>
                <c:pt idx="140">
                  <c:v>0.79935871743486953</c:v>
                </c:pt>
                <c:pt idx="141">
                  <c:v>0.79935871743486953</c:v>
                </c:pt>
                <c:pt idx="142">
                  <c:v>0.79935871743486953</c:v>
                </c:pt>
                <c:pt idx="143">
                  <c:v>0.79935871743486953</c:v>
                </c:pt>
                <c:pt idx="144">
                  <c:v>0.79935871743486953</c:v>
                </c:pt>
                <c:pt idx="145">
                  <c:v>0.79935871743486953</c:v>
                </c:pt>
                <c:pt idx="146">
                  <c:v>0.79935871743486953</c:v>
                </c:pt>
                <c:pt idx="147">
                  <c:v>0.79935871743486953</c:v>
                </c:pt>
                <c:pt idx="148">
                  <c:v>0.79935871743486953</c:v>
                </c:pt>
                <c:pt idx="149">
                  <c:v>0.79935871743486953</c:v>
                </c:pt>
                <c:pt idx="150">
                  <c:v>0.79935871743486953</c:v>
                </c:pt>
                <c:pt idx="151">
                  <c:v>0.79935871743486953</c:v>
                </c:pt>
                <c:pt idx="152">
                  <c:v>0.79935871743486953</c:v>
                </c:pt>
                <c:pt idx="153">
                  <c:v>0.79935871743486953</c:v>
                </c:pt>
              </c:numCache>
            </c:numRef>
          </c:yVal>
          <c:smooth val="1"/>
          <c:extLst>
            <c:ext xmlns:c16="http://schemas.microsoft.com/office/drawing/2014/chart" uri="{C3380CC4-5D6E-409C-BE32-E72D297353CC}">
              <c16:uniqueId val="{00000000-962A-436E-820F-E449CF0E1D01}"/>
            </c:ext>
          </c:extLst>
        </c:ser>
        <c:ser>
          <c:idx val="5"/>
          <c:order val="7"/>
          <c:tx>
            <c:strRef>
              <c:f>'COUT Network Design'!$BC$28</c:f>
              <c:strCache>
                <c:ptCount val="1"/>
                <c:pt idx="0">
                  <c:v>fT</c:v>
                </c:pt>
              </c:strCache>
            </c:strRef>
          </c:tx>
          <c:spPr>
            <a:ln w="25400" cap="rnd">
              <a:solidFill>
                <a:srgbClr val="00B050"/>
              </a:solidFill>
              <a:prstDash val="sysDash"/>
              <a:round/>
            </a:ln>
            <a:effectLst/>
          </c:spPr>
          <c:marker>
            <c:symbol val="none"/>
          </c:marker>
          <c:errBars>
            <c:errDir val="x"/>
            <c:errBarType val="both"/>
            <c:errValType val="percentage"/>
            <c:noEndCap val="0"/>
            <c:val val="0"/>
            <c:spPr>
              <a:noFill/>
              <a:ln w="9525" cap="flat" cmpd="sng" algn="ctr">
                <a:solidFill>
                  <a:schemeClr val="tx1">
                    <a:lumMod val="65000"/>
                    <a:lumOff val="35000"/>
                  </a:schemeClr>
                </a:solidFill>
                <a:round/>
              </a:ln>
              <a:effectLst/>
            </c:spPr>
          </c:errBars>
          <c:errBars>
            <c:errDir val="y"/>
            <c:errBarType val="both"/>
            <c:errValType val="fixedVal"/>
            <c:noEndCap val="0"/>
            <c:val val="100000"/>
            <c:spPr>
              <a:noFill/>
              <a:ln w="25400" cap="flat" cmpd="sng" algn="ctr">
                <a:solidFill>
                  <a:srgbClr val="00B050"/>
                </a:solidFill>
                <a:prstDash val="sysDash"/>
                <a:round/>
              </a:ln>
              <a:effectLst/>
            </c:spPr>
          </c:errBars>
          <c:xVal>
            <c:numRef>
              <c:f>'COUT Network Design'!$BC$29</c:f>
              <c:numCache>
                <c:formatCode>0.00</c:formatCode>
                <c:ptCount val="1"/>
                <c:pt idx="0">
                  <c:v>38191.629296581727</c:v>
                </c:pt>
              </c:numCache>
            </c:numRef>
          </c:xVal>
          <c:yVal>
            <c:numRef>
              <c:f>'COUT Network Design'!$BD$29</c:f>
              <c:numCache>
                <c:formatCode>General</c:formatCode>
                <c:ptCount val="1"/>
                <c:pt idx="0">
                  <c:v>1.0000000000000001E-5</c:v>
                </c:pt>
              </c:numCache>
            </c:numRef>
          </c:yVal>
          <c:smooth val="1"/>
          <c:extLst>
            <c:ext xmlns:c16="http://schemas.microsoft.com/office/drawing/2014/chart" uri="{C3380CC4-5D6E-409C-BE32-E72D297353CC}">
              <c16:uniqueId val="{00000001-FE8F-400B-8263-69B6498BCDF3}"/>
            </c:ext>
          </c:extLst>
        </c:ser>
        <c:ser>
          <c:idx val="6"/>
          <c:order val="8"/>
          <c:tx>
            <c:strRef>
              <c:f>'COUT Network Design'!$BC$31</c:f>
              <c:strCache>
                <c:ptCount val="1"/>
                <c:pt idx="0">
                  <c:v>fSTEP</c:v>
                </c:pt>
              </c:strCache>
            </c:strRef>
          </c:tx>
          <c:spPr>
            <a:ln w="25400" cap="rnd">
              <a:solidFill>
                <a:srgbClr val="00B0F0"/>
              </a:solidFill>
              <a:prstDash val="sysDash"/>
              <a:round/>
            </a:ln>
            <a:effectLst/>
          </c:spPr>
          <c:marker>
            <c:symbol val="none"/>
          </c:marker>
          <c:errBars>
            <c:errDir val="x"/>
            <c:errBarType val="both"/>
            <c:errValType val="percentage"/>
            <c:noEndCap val="0"/>
            <c:val val="5"/>
            <c:spPr>
              <a:noFill/>
              <a:ln w="9525" cap="flat" cmpd="sng" algn="ctr">
                <a:solidFill>
                  <a:schemeClr val="tx1">
                    <a:lumMod val="65000"/>
                    <a:lumOff val="35000"/>
                  </a:schemeClr>
                </a:solidFill>
                <a:round/>
              </a:ln>
              <a:effectLst/>
            </c:spPr>
          </c:errBars>
          <c:errBars>
            <c:errDir val="y"/>
            <c:errBarType val="both"/>
            <c:errValType val="fixedVal"/>
            <c:noEndCap val="0"/>
            <c:val val="100000"/>
            <c:spPr>
              <a:noFill/>
              <a:ln w="25400" cap="flat" cmpd="sng" algn="ctr">
                <a:solidFill>
                  <a:srgbClr val="00B0F0"/>
                </a:solidFill>
                <a:prstDash val="sysDash"/>
                <a:round/>
              </a:ln>
              <a:effectLst/>
            </c:spPr>
          </c:errBars>
          <c:xVal>
            <c:numRef>
              <c:f>'COUT Network Design'!$BC$32</c:f>
              <c:numCache>
                <c:formatCode>0.00</c:formatCode>
                <c:ptCount val="1"/>
                <c:pt idx="0">
                  <c:v>35000000</c:v>
                </c:pt>
              </c:numCache>
            </c:numRef>
          </c:xVal>
          <c:yVal>
            <c:numRef>
              <c:f>'COUT Network Design'!$BD$32</c:f>
              <c:numCache>
                <c:formatCode>0.00000</c:formatCode>
                <c:ptCount val="1"/>
                <c:pt idx="0">
                  <c:v>1.0000000000000001E-5</c:v>
                </c:pt>
              </c:numCache>
            </c:numRef>
          </c:yVal>
          <c:smooth val="1"/>
          <c:extLst>
            <c:ext xmlns:c16="http://schemas.microsoft.com/office/drawing/2014/chart" uri="{C3380CC4-5D6E-409C-BE32-E72D297353CC}">
              <c16:uniqueId val="{00000000-CF84-45A7-8AF6-94BF689DF950}"/>
            </c:ext>
          </c:extLst>
        </c:ser>
        <c:ser>
          <c:idx val="9"/>
          <c:order val="9"/>
          <c:tx>
            <c:strRef>
              <c:f>'COUT Network Design'!$BC$34</c:f>
              <c:strCache>
                <c:ptCount val="1"/>
                <c:pt idx="0">
                  <c:v>fSW</c:v>
                </c:pt>
              </c:strCache>
            </c:strRef>
          </c:tx>
          <c:spPr>
            <a:ln w="25400" cap="rnd">
              <a:solidFill>
                <a:schemeClr val="accent4"/>
              </a:solidFill>
              <a:prstDash val="sysDash"/>
              <a:round/>
            </a:ln>
            <a:effectLst/>
          </c:spPr>
          <c:marker>
            <c:symbol val="none"/>
          </c:marker>
          <c:errBars>
            <c:errDir val="x"/>
            <c:errBarType val="both"/>
            <c:errValType val="percentage"/>
            <c:noEndCap val="0"/>
            <c:val val="5"/>
            <c:spPr>
              <a:noFill/>
              <a:ln w="9525" cap="flat" cmpd="sng" algn="ctr">
                <a:solidFill>
                  <a:schemeClr val="tx1">
                    <a:lumMod val="65000"/>
                    <a:lumOff val="35000"/>
                  </a:schemeClr>
                </a:solidFill>
                <a:round/>
              </a:ln>
              <a:effectLst/>
            </c:spPr>
          </c:errBars>
          <c:errBars>
            <c:errDir val="y"/>
            <c:errBarType val="both"/>
            <c:errValType val="fixedVal"/>
            <c:noEndCap val="0"/>
            <c:val val="100000"/>
            <c:spPr>
              <a:noFill/>
              <a:ln w="25400" cap="flat" cmpd="sng" algn="ctr">
                <a:solidFill>
                  <a:schemeClr val="accent4"/>
                </a:solidFill>
                <a:prstDash val="sysDash"/>
                <a:round/>
              </a:ln>
              <a:effectLst/>
            </c:spPr>
          </c:errBars>
          <c:xVal>
            <c:numRef>
              <c:f>'COUT Network Design'!$BC$35</c:f>
              <c:numCache>
                <c:formatCode>General</c:formatCode>
                <c:ptCount val="1"/>
                <c:pt idx="0">
                  <c:v>500000</c:v>
                </c:pt>
              </c:numCache>
            </c:numRef>
          </c:xVal>
          <c:yVal>
            <c:numRef>
              <c:f>'COUT Network Design'!$BD$35</c:f>
              <c:numCache>
                <c:formatCode>General</c:formatCode>
                <c:ptCount val="1"/>
                <c:pt idx="0">
                  <c:v>1.0000000000000001E-5</c:v>
                </c:pt>
              </c:numCache>
            </c:numRef>
          </c:yVal>
          <c:smooth val="1"/>
          <c:extLst>
            <c:ext xmlns:c16="http://schemas.microsoft.com/office/drawing/2014/chart" uri="{C3380CC4-5D6E-409C-BE32-E72D297353CC}">
              <c16:uniqueId val="{00000000-96E4-46C3-9479-3643DADE8A89}"/>
            </c:ext>
          </c:extLst>
        </c:ser>
        <c:dLbls>
          <c:showLegendKey val="0"/>
          <c:showVal val="0"/>
          <c:showCatName val="0"/>
          <c:showSerName val="0"/>
          <c:showPercent val="0"/>
          <c:showBubbleSize val="0"/>
        </c:dLbls>
        <c:axId val="408105248"/>
        <c:axId val="408106688"/>
      </c:scatterChart>
      <c:valAx>
        <c:axId val="408105248"/>
        <c:scaling>
          <c:logBase val="10"/>
          <c:orientation val="minMax"/>
          <c:min val="100"/>
        </c:scaling>
        <c:delete val="0"/>
        <c:axPos val="b"/>
        <c:majorGridlines>
          <c:spPr>
            <a:ln w="1270" cap="flat" cmpd="sng" algn="ctr">
              <a:solidFill>
                <a:srgbClr val="000000"/>
              </a:solidFill>
              <a:prstDash val="solid"/>
              <a:round/>
            </a:ln>
            <a:effectLst/>
          </c:spPr>
        </c:majorGridlines>
        <c:minorGridlines>
          <c:spPr>
            <a:ln w="9525" cap="flat" cmpd="sng" algn="ctr">
              <a:solidFill>
                <a:schemeClr val="bg1">
                  <a:lumMod val="75000"/>
                </a:schemeClr>
              </a:solidFill>
              <a:round/>
            </a:ln>
            <a:effectLst/>
          </c:spPr>
        </c:minorGridlines>
        <c:title>
          <c:tx>
            <c:rich>
              <a:bodyPr rot="0" spcFirstLastPara="1" vertOverflow="ellipsis" vert="horz" wrap="square" anchor="ctr" anchorCtr="1"/>
              <a:lstStyle/>
              <a:p>
                <a:pPr>
                  <a:defRPr sz="1200" b="1" i="0" u="none" strike="noStrike" kern="1200" baseline="0">
                    <a:solidFill>
                      <a:srgbClr val="000000"/>
                    </a:solidFill>
                    <a:latin typeface="Arial"/>
                    <a:ea typeface="Arial"/>
                    <a:cs typeface="Arial"/>
                  </a:defRPr>
                </a:pPr>
                <a:r>
                  <a:rPr lang="en-US" sz="1200" b="1"/>
                  <a:t>Frequency (Hz)</a:t>
                </a:r>
              </a:p>
            </c:rich>
          </c:tx>
          <c:overlay val="0"/>
          <c:spPr>
            <a:noFill/>
            <a:ln>
              <a:noFill/>
            </a:ln>
            <a:effectLst/>
          </c:spPr>
          <c:txPr>
            <a:bodyPr rot="0" spcFirstLastPara="1" vertOverflow="ellipsis" vert="horz" wrap="square" anchor="ctr" anchorCtr="1"/>
            <a:lstStyle/>
            <a:p>
              <a:pPr>
                <a:defRPr sz="1200" b="1" i="0" u="none" strike="noStrike" kern="1200" baseline="0">
                  <a:solidFill>
                    <a:srgbClr val="000000"/>
                  </a:solidFill>
                  <a:latin typeface="Arial"/>
                  <a:ea typeface="Arial"/>
                  <a:cs typeface="Arial"/>
                </a:defRPr>
              </a:pPr>
              <a:endParaRPr lang="en-US"/>
            </a:p>
          </c:txPr>
        </c:title>
        <c:numFmt formatCode="[&gt;999999]0,,&quot;M&quot;;[&gt;999]#,##0,&quot;K&quot;;General" sourceLinked="0"/>
        <c:majorTickMark val="in"/>
        <c:minorTickMark val="none"/>
        <c:tickLblPos val="nextTo"/>
        <c:spPr>
          <a:noFill/>
          <a:ln w="1270" cap="flat" cmpd="sng" algn="ctr">
            <a:solidFill>
              <a:srgbClr val="000000"/>
            </a:solidFill>
            <a:prstDash val="solid"/>
            <a:round/>
          </a:ln>
          <a:effectLst/>
        </c:spPr>
        <c:txPr>
          <a:bodyPr rot="-60000000" spcFirstLastPara="1" vertOverflow="ellipsis" vert="horz" wrap="square" anchor="ctr" anchorCtr="1"/>
          <a:lstStyle/>
          <a:p>
            <a:pPr>
              <a:defRPr sz="1000" b="0" i="0" u="none" strike="noStrike" kern="1200" baseline="0">
                <a:solidFill>
                  <a:srgbClr val="000000"/>
                </a:solidFill>
                <a:latin typeface="Arial"/>
                <a:ea typeface="Arial"/>
                <a:cs typeface="Arial"/>
              </a:defRPr>
            </a:pPr>
            <a:endParaRPr lang="en-US"/>
          </a:p>
        </c:txPr>
        <c:crossAx val="408106688"/>
        <c:crossesAt val="1.0000000000000004E-6"/>
        <c:crossBetween val="midCat"/>
      </c:valAx>
      <c:valAx>
        <c:axId val="408106688"/>
        <c:scaling>
          <c:logBase val="10"/>
          <c:orientation val="minMax"/>
          <c:max val="1000"/>
          <c:min val="1.0000000000000002E-3"/>
        </c:scaling>
        <c:delete val="0"/>
        <c:axPos val="l"/>
        <c:majorGridlines>
          <c:spPr>
            <a:ln w="1270" cap="flat" cmpd="sng" algn="ctr">
              <a:solidFill>
                <a:srgbClr val="000000"/>
              </a:solidFill>
              <a:prstDash val="solid"/>
              <a:round/>
            </a:ln>
            <a:effectLst/>
          </c:spPr>
        </c:majorGridlines>
        <c:minorGridlines>
          <c:spPr>
            <a:ln w="9525" cap="flat" cmpd="sng" algn="ctr">
              <a:solidFill>
                <a:schemeClr val="bg1">
                  <a:lumMod val="75000"/>
                </a:schemeClr>
              </a:solidFill>
              <a:round/>
            </a:ln>
            <a:effectLst/>
          </c:spPr>
        </c:minorGridlines>
        <c:title>
          <c:tx>
            <c:rich>
              <a:bodyPr rot="-5400000" spcFirstLastPara="1" vertOverflow="ellipsis" vert="horz" wrap="square" anchor="ctr" anchorCtr="1"/>
              <a:lstStyle/>
              <a:p>
                <a:pPr>
                  <a:defRPr sz="1200" b="1" i="0" u="none" strike="noStrike" kern="1200" baseline="0">
                    <a:solidFill>
                      <a:srgbClr val="000000"/>
                    </a:solidFill>
                    <a:latin typeface="Arial"/>
                    <a:ea typeface="Arial"/>
                    <a:cs typeface="Arial"/>
                  </a:defRPr>
                </a:pPr>
                <a:r>
                  <a:rPr lang="en-US" sz="1200" b="1"/>
                  <a:t>Output Impedance (m</a:t>
                </a:r>
                <a:r>
                  <a:rPr lang="el-GR" sz="1200" b="1"/>
                  <a:t>Ω)</a:t>
                </a:r>
              </a:p>
            </c:rich>
          </c:tx>
          <c:overlay val="0"/>
          <c:spPr>
            <a:noFill/>
            <a:ln>
              <a:noFill/>
            </a:ln>
            <a:effectLst/>
          </c:spPr>
          <c:txPr>
            <a:bodyPr rot="-5400000" spcFirstLastPara="1" vertOverflow="ellipsis" vert="horz" wrap="square" anchor="ctr" anchorCtr="1"/>
            <a:lstStyle/>
            <a:p>
              <a:pPr>
                <a:defRPr sz="1200" b="1" i="0" u="none" strike="noStrike" kern="1200" baseline="0">
                  <a:solidFill>
                    <a:srgbClr val="000000"/>
                  </a:solidFill>
                  <a:latin typeface="Arial"/>
                  <a:ea typeface="Arial"/>
                  <a:cs typeface="Arial"/>
                </a:defRPr>
              </a:pPr>
              <a:endParaRPr lang="en-US"/>
            </a:p>
          </c:txPr>
        </c:title>
        <c:numFmt formatCode="[&lt;1]0.###;[&gt;0.1]###,###;" sourceLinked="0"/>
        <c:majorTickMark val="in"/>
        <c:minorTickMark val="none"/>
        <c:tickLblPos val="nextTo"/>
        <c:spPr>
          <a:noFill/>
          <a:ln w="1270" cap="flat" cmpd="sng" algn="ctr">
            <a:solidFill>
              <a:srgbClr val="000000"/>
            </a:solidFill>
            <a:prstDash val="solid"/>
            <a:round/>
          </a:ln>
          <a:effectLst/>
        </c:spPr>
        <c:txPr>
          <a:bodyPr rot="-60000000" spcFirstLastPara="1" vertOverflow="ellipsis" vert="horz" wrap="square" anchor="ctr" anchorCtr="1"/>
          <a:lstStyle/>
          <a:p>
            <a:pPr>
              <a:defRPr sz="1000" b="0" i="0" u="none" strike="noStrike" kern="1200" baseline="0">
                <a:solidFill>
                  <a:srgbClr val="000000"/>
                </a:solidFill>
                <a:latin typeface="Arial"/>
                <a:ea typeface="Arial"/>
                <a:cs typeface="Arial"/>
              </a:defRPr>
            </a:pPr>
            <a:endParaRPr lang="en-US"/>
          </a:p>
        </c:txPr>
        <c:crossAx val="408105248"/>
        <c:crosses val="autoZero"/>
        <c:crossBetween val="midCat"/>
      </c:valAx>
      <c:spPr>
        <a:solidFill>
          <a:srgbClr val="FFFFFF"/>
        </a:solidFill>
        <a:ln w="1270">
          <a:solidFill>
            <a:srgbClr val="000000"/>
          </a:solidFill>
          <a:prstDash val="solid"/>
        </a:ln>
        <a:effectLst/>
      </c:spPr>
    </c:plotArea>
    <c:legend>
      <c:legendPos val="r"/>
      <c:overlay val="0"/>
      <c:spPr>
        <a:solidFill>
          <a:srgbClr val="FFFFFF"/>
        </a:solidFill>
        <a:ln w="3175">
          <a:solidFill>
            <a:srgbClr val="000000"/>
          </a:solidFill>
          <a:prstDash val="solid"/>
        </a:ln>
        <a:effectLst/>
      </c:spPr>
      <c:txPr>
        <a:bodyPr rot="0" spcFirstLastPara="1" vertOverflow="ellipsis" vert="horz" wrap="square" anchor="ctr" anchorCtr="1"/>
        <a:lstStyle/>
        <a:p>
          <a:pPr>
            <a:defRPr lang="en-US" sz="800" b="0" i="0" u="none" strike="noStrike" kern="1200" baseline="0">
              <a:solidFill>
                <a:srgbClr val="000000"/>
              </a:solidFill>
              <a:latin typeface="Arial"/>
              <a:ea typeface="Arial"/>
              <a:cs typeface="Arial"/>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3175" cap="flat" cmpd="sng" algn="ctr">
      <a:solidFill>
        <a:srgbClr val="000000"/>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rgbClr val="000000"/>
                </a:solidFill>
                <a:latin typeface="Arial"/>
                <a:ea typeface="Arial"/>
                <a:cs typeface="Arial"/>
              </a:defRPr>
            </a:pPr>
            <a:r>
              <a:rPr lang="en-US" sz="1200" b="1"/>
              <a:t>Input Impedance vs Frequency (per phase)</a:t>
            </a:r>
          </a:p>
        </c:rich>
      </c:tx>
      <c:overlay val="0"/>
      <c:spPr>
        <a:noFill/>
        <a:ln>
          <a:noFill/>
        </a:ln>
        <a:effectLst/>
      </c:spPr>
      <c:txPr>
        <a:bodyPr rot="0" spcFirstLastPara="1" vertOverflow="ellipsis" vert="horz" wrap="square" anchor="ctr" anchorCtr="1"/>
        <a:lstStyle/>
        <a:p>
          <a:pPr>
            <a:defRPr sz="1200" b="1" i="0" u="none" strike="noStrike" kern="1200" spc="0" baseline="0">
              <a:solidFill>
                <a:srgbClr val="000000"/>
              </a:solidFill>
              <a:latin typeface="Arial"/>
              <a:ea typeface="Arial"/>
              <a:cs typeface="Arial"/>
            </a:defRPr>
          </a:pPr>
          <a:endParaRPr lang="en-US"/>
        </a:p>
      </c:txPr>
    </c:title>
    <c:autoTitleDeleted val="0"/>
    <c:plotArea>
      <c:layout/>
      <c:scatterChart>
        <c:scatterStyle val="smoothMarker"/>
        <c:varyColors val="0"/>
        <c:ser>
          <c:idx val="0"/>
          <c:order val="0"/>
          <c:tx>
            <c:strRef>
              <c:f>'CIN Network Design'!$Y$28</c:f>
              <c:strCache>
                <c:ptCount val="1"/>
                <c:pt idx="0">
                  <c:v>ZIN(TOTAL)</c:v>
                </c:pt>
              </c:strCache>
            </c:strRef>
          </c:tx>
          <c:spPr>
            <a:ln w="25400" cap="rnd">
              <a:solidFill>
                <a:schemeClr val="accent1"/>
              </a:solidFill>
              <a:round/>
            </a:ln>
            <a:effectLst/>
          </c:spPr>
          <c:marker>
            <c:symbol val="none"/>
          </c:marker>
          <c:xVal>
            <c:numRef>
              <c:f>'CIN Network Design'!$X$29:$X$182</c:f>
              <c:numCache>
                <c:formatCode>#,##0</c:formatCode>
                <c:ptCount val="154"/>
                <c:pt idx="0">
                  <c:v>1</c:v>
                </c:pt>
                <c:pt idx="1">
                  <c:v>2</c:v>
                </c:pt>
                <c:pt idx="2">
                  <c:v>3</c:v>
                </c:pt>
                <c:pt idx="3">
                  <c:v>4</c:v>
                </c:pt>
                <c:pt idx="4">
                  <c:v>5</c:v>
                </c:pt>
                <c:pt idx="5">
                  <c:v>6</c:v>
                </c:pt>
                <c:pt idx="6">
                  <c:v>7</c:v>
                </c:pt>
                <c:pt idx="7">
                  <c:v>8</c:v>
                </c:pt>
                <c:pt idx="8">
                  <c:v>9</c:v>
                </c:pt>
                <c:pt idx="9">
                  <c:v>10</c:v>
                </c:pt>
                <c:pt idx="10">
                  <c:v>15</c:v>
                </c:pt>
                <c:pt idx="11">
                  <c:v>20</c:v>
                </c:pt>
                <c:pt idx="12">
                  <c:v>25</c:v>
                </c:pt>
                <c:pt idx="13">
                  <c:v>30</c:v>
                </c:pt>
                <c:pt idx="14">
                  <c:v>35</c:v>
                </c:pt>
                <c:pt idx="15">
                  <c:v>40</c:v>
                </c:pt>
                <c:pt idx="16">
                  <c:v>45</c:v>
                </c:pt>
                <c:pt idx="17">
                  <c:v>50</c:v>
                </c:pt>
                <c:pt idx="18">
                  <c:v>55</c:v>
                </c:pt>
                <c:pt idx="19">
                  <c:v>60</c:v>
                </c:pt>
                <c:pt idx="20">
                  <c:v>65</c:v>
                </c:pt>
                <c:pt idx="21">
                  <c:v>70</c:v>
                </c:pt>
                <c:pt idx="22">
                  <c:v>75</c:v>
                </c:pt>
                <c:pt idx="23">
                  <c:v>80</c:v>
                </c:pt>
                <c:pt idx="24">
                  <c:v>85</c:v>
                </c:pt>
                <c:pt idx="25">
                  <c:v>90</c:v>
                </c:pt>
                <c:pt idx="26">
                  <c:v>95</c:v>
                </c:pt>
                <c:pt idx="27">
                  <c:v>100</c:v>
                </c:pt>
                <c:pt idx="28">
                  <c:v>150</c:v>
                </c:pt>
                <c:pt idx="29">
                  <c:v>200</c:v>
                </c:pt>
                <c:pt idx="30">
                  <c:v>250</c:v>
                </c:pt>
                <c:pt idx="31">
                  <c:v>300</c:v>
                </c:pt>
                <c:pt idx="32">
                  <c:v>350</c:v>
                </c:pt>
                <c:pt idx="33">
                  <c:v>400</c:v>
                </c:pt>
                <c:pt idx="34">
                  <c:v>450</c:v>
                </c:pt>
                <c:pt idx="35">
                  <c:v>500</c:v>
                </c:pt>
                <c:pt idx="36">
                  <c:v>550</c:v>
                </c:pt>
                <c:pt idx="37">
                  <c:v>600</c:v>
                </c:pt>
                <c:pt idx="38">
                  <c:v>650</c:v>
                </c:pt>
                <c:pt idx="39">
                  <c:v>700</c:v>
                </c:pt>
                <c:pt idx="40">
                  <c:v>750</c:v>
                </c:pt>
                <c:pt idx="41">
                  <c:v>800</c:v>
                </c:pt>
                <c:pt idx="42">
                  <c:v>850</c:v>
                </c:pt>
                <c:pt idx="43">
                  <c:v>900</c:v>
                </c:pt>
                <c:pt idx="44">
                  <c:v>950</c:v>
                </c:pt>
                <c:pt idx="45">
                  <c:v>1000</c:v>
                </c:pt>
                <c:pt idx="46">
                  <c:v>1500</c:v>
                </c:pt>
                <c:pt idx="47">
                  <c:v>2000</c:v>
                </c:pt>
                <c:pt idx="48">
                  <c:v>2500</c:v>
                </c:pt>
                <c:pt idx="49">
                  <c:v>3000</c:v>
                </c:pt>
                <c:pt idx="50">
                  <c:v>3500</c:v>
                </c:pt>
                <c:pt idx="51">
                  <c:v>4000</c:v>
                </c:pt>
                <c:pt idx="52">
                  <c:v>4500</c:v>
                </c:pt>
                <c:pt idx="53">
                  <c:v>5000</c:v>
                </c:pt>
                <c:pt idx="54">
                  <c:v>5500</c:v>
                </c:pt>
                <c:pt idx="55">
                  <c:v>6000</c:v>
                </c:pt>
                <c:pt idx="56">
                  <c:v>6500</c:v>
                </c:pt>
                <c:pt idx="57">
                  <c:v>7000</c:v>
                </c:pt>
                <c:pt idx="58">
                  <c:v>7500</c:v>
                </c:pt>
                <c:pt idx="59">
                  <c:v>8000</c:v>
                </c:pt>
                <c:pt idx="60">
                  <c:v>8500</c:v>
                </c:pt>
                <c:pt idx="61">
                  <c:v>9000</c:v>
                </c:pt>
                <c:pt idx="62">
                  <c:v>9500</c:v>
                </c:pt>
                <c:pt idx="63">
                  <c:v>10000</c:v>
                </c:pt>
                <c:pt idx="64">
                  <c:v>15000</c:v>
                </c:pt>
                <c:pt idx="65">
                  <c:v>20000</c:v>
                </c:pt>
                <c:pt idx="66">
                  <c:v>25000</c:v>
                </c:pt>
                <c:pt idx="67">
                  <c:v>30000</c:v>
                </c:pt>
                <c:pt idx="68">
                  <c:v>35000</c:v>
                </c:pt>
                <c:pt idx="69">
                  <c:v>40000</c:v>
                </c:pt>
                <c:pt idx="70">
                  <c:v>45000</c:v>
                </c:pt>
                <c:pt idx="71">
                  <c:v>50000</c:v>
                </c:pt>
                <c:pt idx="72">
                  <c:v>55000</c:v>
                </c:pt>
                <c:pt idx="73">
                  <c:v>60000</c:v>
                </c:pt>
                <c:pt idx="74">
                  <c:v>65000</c:v>
                </c:pt>
                <c:pt idx="75">
                  <c:v>70000</c:v>
                </c:pt>
                <c:pt idx="76">
                  <c:v>75000</c:v>
                </c:pt>
                <c:pt idx="77">
                  <c:v>80000</c:v>
                </c:pt>
                <c:pt idx="78">
                  <c:v>85000</c:v>
                </c:pt>
                <c:pt idx="79">
                  <c:v>90000</c:v>
                </c:pt>
                <c:pt idx="80">
                  <c:v>95000</c:v>
                </c:pt>
                <c:pt idx="81">
                  <c:v>100000</c:v>
                </c:pt>
                <c:pt idx="82">
                  <c:v>150000</c:v>
                </c:pt>
                <c:pt idx="83">
                  <c:v>200000</c:v>
                </c:pt>
                <c:pt idx="84">
                  <c:v>250000</c:v>
                </c:pt>
                <c:pt idx="85">
                  <c:v>300000</c:v>
                </c:pt>
                <c:pt idx="86">
                  <c:v>350000</c:v>
                </c:pt>
                <c:pt idx="87">
                  <c:v>400000</c:v>
                </c:pt>
                <c:pt idx="88">
                  <c:v>450000</c:v>
                </c:pt>
                <c:pt idx="89">
                  <c:v>500000</c:v>
                </c:pt>
                <c:pt idx="90">
                  <c:v>550000</c:v>
                </c:pt>
                <c:pt idx="91">
                  <c:v>600000</c:v>
                </c:pt>
                <c:pt idx="92">
                  <c:v>650000</c:v>
                </c:pt>
                <c:pt idx="93">
                  <c:v>700000</c:v>
                </c:pt>
                <c:pt idx="94">
                  <c:v>750000</c:v>
                </c:pt>
                <c:pt idx="95">
                  <c:v>800000</c:v>
                </c:pt>
                <c:pt idx="96">
                  <c:v>850000</c:v>
                </c:pt>
                <c:pt idx="97">
                  <c:v>900000</c:v>
                </c:pt>
                <c:pt idx="98">
                  <c:v>950000</c:v>
                </c:pt>
                <c:pt idx="99">
                  <c:v>1000000</c:v>
                </c:pt>
                <c:pt idx="100">
                  <c:v>1500000</c:v>
                </c:pt>
                <c:pt idx="101">
                  <c:v>2000000</c:v>
                </c:pt>
                <c:pt idx="102">
                  <c:v>2500000</c:v>
                </c:pt>
                <c:pt idx="103">
                  <c:v>3000000</c:v>
                </c:pt>
                <c:pt idx="104">
                  <c:v>3500000</c:v>
                </c:pt>
                <c:pt idx="105">
                  <c:v>4000000</c:v>
                </c:pt>
                <c:pt idx="106">
                  <c:v>4500000</c:v>
                </c:pt>
                <c:pt idx="107">
                  <c:v>5000000</c:v>
                </c:pt>
                <c:pt idx="108">
                  <c:v>5500000</c:v>
                </c:pt>
                <c:pt idx="109">
                  <c:v>6000000</c:v>
                </c:pt>
                <c:pt idx="110">
                  <c:v>6500000</c:v>
                </c:pt>
                <c:pt idx="111">
                  <c:v>7000000</c:v>
                </c:pt>
                <c:pt idx="112">
                  <c:v>7500000</c:v>
                </c:pt>
                <c:pt idx="113">
                  <c:v>8000000</c:v>
                </c:pt>
                <c:pt idx="114">
                  <c:v>8500000</c:v>
                </c:pt>
                <c:pt idx="115">
                  <c:v>9000000</c:v>
                </c:pt>
                <c:pt idx="116">
                  <c:v>9500000</c:v>
                </c:pt>
                <c:pt idx="117">
                  <c:v>10000000</c:v>
                </c:pt>
                <c:pt idx="118">
                  <c:v>15000000</c:v>
                </c:pt>
                <c:pt idx="119">
                  <c:v>20000000</c:v>
                </c:pt>
                <c:pt idx="120">
                  <c:v>25000000</c:v>
                </c:pt>
                <c:pt idx="121">
                  <c:v>30000000</c:v>
                </c:pt>
                <c:pt idx="122">
                  <c:v>35000000</c:v>
                </c:pt>
                <c:pt idx="123">
                  <c:v>40000000</c:v>
                </c:pt>
                <c:pt idx="124">
                  <c:v>45000000</c:v>
                </c:pt>
                <c:pt idx="125">
                  <c:v>50000000</c:v>
                </c:pt>
                <c:pt idx="126">
                  <c:v>55000000</c:v>
                </c:pt>
                <c:pt idx="127">
                  <c:v>60000000</c:v>
                </c:pt>
                <c:pt idx="128">
                  <c:v>65000000</c:v>
                </c:pt>
                <c:pt idx="129">
                  <c:v>70000000</c:v>
                </c:pt>
                <c:pt idx="130">
                  <c:v>75000000</c:v>
                </c:pt>
                <c:pt idx="131">
                  <c:v>80000000</c:v>
                </c:pt>
                <c:pt idx="132">
                  <c:v>85000000</c:v>
                </c:pt>
                <c:pt idx="133">
                  <c:v>90000000</c:v>
                </c:pt>
                <c:pt idx="134">
                  <c:v>95000000</c:v>
                </c:pt>
                <c:pt idx="135">
                  <c:v>100000000</c:v>
                </c:pt>
                <c:pt idx="136">
                  <c:v>150000000</c:v>
                </c:pt>
                <c:pt idx="137">
                  <c:v>200000000</c:v>
                </c:pt>
                <c:pt idx="138">
                  <c:v>250000000</c:v>
                </c:pt>
                <c:pt idx="139">
                  <c:v>300000000</c:v>
                </c:pt>
                <c:pt idx="140">
                  <c:v>350000000</c:v>
                </c:pt>
                <c:pt idx="141">
                  <c:v>400000000</c:v>
                </c:pt>
                <c:pt idx="142">
                  <c:v>450000000</c:v>
                </c:pt>
                <c:pt idx="143">
                  <c:v>500000000</c:v>
                </c:pt>
                <c:pt idx="144">
                  <c:v>550000000</c:v>
                </c:pt>
                <c:pt idx="145">
                  <c:v>600000000</c:v>
                </c:pt>
                <c:pt idx="146">
                  <c:v>650000000</c:v>
                </c:pt>
                <c:pt idx="147">
                  <c:v>700000000</c:v>
                </c:pt>
                <c:pt idx="148">
                  <c:v>750000000</c:v>
                </c:pt>
                <c:pt idx="149">
                  <c:v>800000000</c:v>
                </c:pt>
                <c:pt idx="150">
                  <c:v>850000000</c:v>
                </c:pt>
                <c:pt idx="151">
                  <c:v>900000000</c:v>
                </c:pt>
                <c:pt idx="152">
                  <c:v>950000000</c:v>
                </c:pt>
                <c:pt idx="153">
                  <c:v>1000000000</c:v>
                </c:pt>
              </c:numCache>
            </c:numRef>
          </c:xVal>
          <c:yVal>
            <c:numRef>
              <c:f>'CIN Network Design'!$Y$29:$Y$182</c:f>
              <c:numCache>
                <c:formatCode>General</c:formatCode>
                <c:ptCount val="154"/>
                <c:pt idx="0">
                  <c:v>2384700.9753054343</c:v>
                </c:pt>
                <c:pt idx="1">
                  <c:v>1192350.4876524785</c:v>
                </c:pt>
                <c:pt idx="2">
                  <c:v>794900.32510138687</c:v>
                </c:pt>
                <c:pt idx="3">
                  <c:v>596175.2438257616</c:v>
                </c:pt>
                <c:pt idx="4">
                  <c:v>476940.19506032235</c:v>
                </c:pt>
                <c:pt idx="5">
                  <c:v>397450.16254997667</c:v>
                </c:pt>
                <c:pt idx="6">
                  <c:v>340671.56789968436</c:v>
                </c:pt>
                <c:pt idx="7">
                  <c:v>298087.62191192515</c:v>
                </c:pt>
                <c:pt idx="8">
                  <c:v>264966.77503252146</c:v>
                </c:pt>
                <c:pt idx="9">
                  <c:v>238470.09752896667</c:v>
                </c:pt>
                <c:pt idx="10">
                  <c:v>158980.06501798393</c:v>
                </c:pt>
                <c:pt idx="11">
                  <c:v>119235.04876209435</c:v>
                </c:pt>
                <c:pt idx="12">
                  <c:v>95388.039008242093</c:v>
                </c:pt>
                <c:pt idx="13">
                  <c:v>79490.032505408482</c:v>
                </c:pt>
                <c:pt idx="14">
                  <c:v>68134.313574585482</c:v>
                </c:pt>
                <c:pt idx="15">
                  <c:v>59617.524376269161</c:v>
                </c:pt>
                <c:pt idx="16">
                  <c:v>52993.354999623953</c:v>
                </c:pt>
                <c:pt idx="17">
                  <c:v>47694.019498148518</c:v>
                </c:pt>
                <c:pt idx="18">
                  <c:v>43358.199542251117</c:v>
                </c:pt>
                <c:pt idx="19">
                  <c:v>39745.016245537226</c:v>
                </c:pt>
                <c:pt idx="20">
                  <c:v>36687.707302041403</c:v>
                </c:pt>
                <c:pt idx="21">
                  <c:v>34067.156778931225</c:v>
                </c:pt>
                <c:pt idx="22">
                  <c:v>31796.012992129563</c:v>
                </c:pt>
                <c:pt idx="23">
                  <c:v>29808.76217857857</c:v>
                </c:pt>
                <c:pt idx="24">
                  <c:v>28055.30557829282</c:v>
                </c:pt>
                <c:pt idx="25">
                  <c:v>26496.677489061462</c:v>
                </c:pt>
                <c:pt idx="26">
                  <c:v>25102.115514402212</c:v>
                </c:pt>
                <c:pt idx="27">
                  <c:v>23847.009737129247</c:v>
                </c:pt>
                <c:pt idx="28">
                  <c:v>15898.00647814725</c:v>
                </c:pt>
                <c:pt idx="29">
                  <c:v>11923.50484467458</c:v>
                </c:pt>
                <c:pt idx="30">
                  <c:v>9538.8038614056386</c:v>
                </c:pt>
                <c:pt idx="31">
                  <c:v>7949.0032032385625</c:v>
                </c:pt>
                <c:pt idx="32">
                  <c:v>6813.4313022725519</c:v>
                </c:pt>
                <c:pt idx="33">
                  <c:v>5961.7523745572053</c:v>
                </c:pt>
                <c:pt idx="34">
                  <c:v>5299.3354290089728</c:v>
                </c:pt>
                <c:pt idx="35">
                  <c:v>4769.4018709777165</c:v>
                </c:pt>
                <c:pt idx="36">
                  <c:v>4335.8198675042604</c:v>
                </c:pt>
                <c:pt idx="37">
                  <c:v>3974.5015299491561</c:v>
                </c:pt>
                <c:pt idx="38">
                  <c:v>3668.7706277158622</c:v>
                </c:pt>
                <c:pt idx="39">
                  <c:v>3406.7155675211316</c:v>
                </c:pt>
                <c:pt idx="40">
                  <c:v>3179.6011809572524</c:v>
                </c:pt>
                <c:pt idx="41">
                  <c:v>2980.8760917184395</c:v>
                </c:pt>
                <c:pt idx="42">
                  <c:v>2805.5304238061531</c:v>
                </c:pt>
                <c:pt idx="43">
                  <c:v>2649.6676069993027</c:v>
                </c:pt>
                <c:pt idx="44">
                  <c:v>2510.2114016496648</c:v>
                </c:pt>
                <c:pt idx="45">
                  <c:v>2384.7008160386558</c:v>
                </c:pt>
                <c:pt idx="46">
                  <c:v>1589.8004113033392</c:v>
                </c:pt>
                <c:pt idx="47">
                  <c:v>1192.3501691189754</c:v>
                </c:pt>
                <c:pt idx="48">
                  <c:v>953.87999195501106</c:v>
                </c:pt>
                <c:pt idx="49">
                  <c:v>794.89984730126719</c:v>
                </c:pt>
                <c:pt idx="50">
                  <c:v>681.34257836767063</c:v>
                </c:pt>
                <c:pt idx="51">
                  <c:v>596.17460675918824</c:v>
                </c:pt>
                <c:pt idx="52">
                  <c:v>529.93283336747083</c:v>
                </c:pt>
                <c:pt idx="53">
                  <c:v>476.93939872751218</c:v>
                </c:pt>
                <c:pt idx="54">
                  <c:v>433.58111954340166</c:v>
                </c:pt>
                <c:pt idx="55">
                  <c:v>397.44920695120061</c:v>
                </c:pt>
                <c:pt idx="56">
                  <c:v>366.8760378912616</c:v>
                </c:pt>
                <c:pt idx="57">
                  <c:v>340.6704530352672</c:v>
                </c:pt>
                <c:pt idx="58">
                  <c:v>317.95893554245271</c:v>
                </c:pt>
                <c:pt idx="59">
                  <c:v>298.08634778224649</c:v>
                </c:pt>
                <c:pt idx="60">
                  <c:v>280.55170215480121</c:v>
                </c:pt>
                <c:pt idx="61">
                  <c:v>264.96534163801488</c:v>
                </c:pt>
                <c:pt idx="62">
                  <c:v>251.01964226707148</c:v>
                </c:pt>
                <c:pt idx="63">
                  <c:v>238.46850487011977</c:v>
                </c:pt>
                <c:pt idx="64">
                  <c:v>158.97767604664725</c:v>
                </c:pt>
                <c:pt idx="65">
                  <c:v>119.23186349858935</c:v>
                </c:pt>
                <c:pt idx="66">
                  <c:v>95.384057479664833</c:v>
                </c:pt>
                <c:pt idx="67">
                  <c:v>79.485254745630968</c:v>
                </c:pt>
                <c:pt idx="68">
                  <c:v>68.128739624256809</c:v>
                </c:pt>
                <c:pt idx="69">
                  <c:v>59.61115428281677</c:v>
                </c:pt>
                <c:pt idx="70">
                  <c:v>52.986188817255474</c:v>
                </c:pt>
                <c:pt idx="71">
                  <c:v>47.68605728785365</c:v>
                </c:pt>
                <c:pt idx="72">
                  <c:v>43.349441371803749</c:v>
                </c:pt>
                <c:pt idx="73">
                  <c:v>39.735462189497888</c:v>
                </c:pt>
                <c:pt idx="74">
                  <c:v>36.677357441759916</c:v>
                </c:pt>
                <c:pt idx="75">
                  <c:v>34.056011202549485</c:v>
                </c:pt>
                <c:pt idx="76">
                  <c:v>31.784071794584708</c:v>
                </c:pt>
                <c:pt idx="77">
                  <c:v>29.796025461606355</c:v>
                </c:pt>
                <c:pt idx="78">
                  <c:v>28.041773450431197</c:v>
                </c:pt>
                <c:pt idx="79">
                  <c:v>26.482350065654391</c:v>
                </c:pt>
                <c:pt idx="80">
                  <c:v>25.086992917603791</c:v>
                </c:pt>
                <c:pt idx="81">
                  <c:v>23.831092095908005</c:v>
                </c:pt>
                <c:pt idx="82">
                  <c:v>15.8741469887136</c:v>
                </c:pt>
                <c:pt idx="83">
                  <c:v>11.891723941139331</c:v>
                </c:pt>
                <c:pt idx="84">
                  <c:v>9.4991289015974711</c:v>
                </c:pt>
                <c:pt idx="85">
                  <c:v>7.9014685655853345</c:v>
                </c:pt>
                <c:pt idx="86">
                  <c:v>6.7580785076277001</c:v>
                </c:pt>
                <c:pt idx="87">
                  <c:v>5.8986302334470189</c:v>
                </c:pt>
                <c:pt idx="88">
                  <c:v>5.2285002148636348</c:v>
                </c:pt>
                <c:pt idx="89">
                  <c:v>4.6909175199908102</c:v>
                </c:pt>
                <c:pt idx="90">
                  <c:v>4.2497582058402177</c:v>
                </c:pt>
                <c:pt idx="91">
                  <c:v>3.8809425290837543</c:v>
                </c:pt>
                <c:pt idx="92">
                  <c:v>3.5678026887489183</c:v>
                </c:pt>
                <c:pt idx="93">
                  <c:v>3.2984358353395637</c:v>
                </c:pt>
                <c:pt idx="94">
                  <c:v>3.0641158891468847</c:v>
                </c:pt>
                <c:pt idx="95">
                  <c:v>2.8583009391196019</c:v>
                </c:pt>
                <c:pt idx="96">
                  <c:v>2.6759909835754034</c:v>
                </c:pt>
                <c:pt idx="97">
                  <c:v>2.5132997689707133</c:v>
                </c:pt>
                <c:pt idx="98">
                  <c:v>2.3671618486758654</c:v>
                </c:pt>
                <c:pt idx="99">
                  <c:v>2.2351275348247106</c:v>
                </c:pt>
                <c:pt idx="100">
                  <c:v>1.3865989922626598</c:v>
                </c:pt>
                <c:pt idx="101">
                  <c:v>0.96864143458043206</c:v>
                </c:pt>
                <c:pt idx="102">
                  <c:v>0.76376931303902751</c:v>
                </c:pt>
                <c:pt idx="103">
                  <c:v>0.70527145729781548</c:v>
                </c:pt>
                <c:pt idx="104">
                  <c:v>0.74540738746968971</c:v>
                </c:pt>
                <c:pt idx="105">
                  <c:v>0.83909872352164561</c:v>
                </c:pt>
                <c:pt idx="106">
                  <c:v>0.95670362904964301</c:v>
                </c:pt>
                <c:pt idx="107">
                  <c:v>1.0831358640395423</c:v>
                </c:pt>
                <c:pt idx="108">
                  <c:v>1.2112973402818423</c:v>
                </c:pt>
                <c:pt idx="109">
                  <c:v>1.3378036092997208</c:v>
                </c:pt>
                <c:pt idx="110">
                  <c:v>1.4609574410352806</c:v>
                </c:pt>
                <c:pt idx="111">
                  <c:v>1.5798461281364615</c:v>
                </c:pt>
                <c:pt idx="112">
                  <c:v>1.6939341997448065</c:v>
                </c:pt>
                <c:pt idx="113">
                  <c:v>1.8028736311261533</c:v>
                </c:pt>
                <c:pt idx="114">
                  <c:v>1.9064124647573875</c:v>
                </c:pt>
                <c:pt idx="115">
                  <c:v>2.0043496603585367</c:v>
                </c:pt>
                <c:pt idx="116">
                  <c:v>2.0965124424517385</c:v>
                </c:pt>
                <c:pt idx="117">
                  <c:v>2.1827449260522167</c:v>
                </c:pt>
                <c:pt idx="118">
                  <c:v>2.6910791186671128</c:v>
                </c:pt>
                <c:pt idx="119">
                  <c:v>2.5001129100335651</c:v>
                </c:pt>
                <c:pt idx="120">
                  <c:v>1.6088811174436706</c:v>
                </c:pt>
                <c:pt idx="121">
                  <c:v>0.47079893547044821</c:v>
                </c:pt>
                <c:pt idx="122">
                  <c:v>1.5309571363039485</c:v>
                </c:pt>
                <c:pt idx="123">
                  <c:v>2.5500427286769201</c:v>
                </c:pt>
                <c:pt idx="124">
                  <c:v>3.4078144001735069</c:v>
                </c:pt>
                <c:pt idx="125">
                  <c:v>4.1758210311248121</c:v>
                </c:pt>
                <c:pt idx="126">
                  <c:v>4.889570022835251</c:v>
                </c:pt>
                <c:pt idx="127">
                  <c:v>5.5679501675519258</c:v>
                </c:pt>
                <c:pt idx="128">
                  <c:v>6.2219020464435557</c:v>
                </c:pt>
                <c:pt idx="129">
                  <c:v>6.8582130781186468</c:v>
                </c:pt>
                <c:pt idx="130">
                  <c:v>7.4813294666126344</c:v>
                </c:pt>
                <c:pt idx="131">
                  <c:v>8.0942936989567293</c:v>
                </c:pt>
                <c:pt idx="132">
                  <c:v>8.6992632271947734</c:v>
                </c:pt>
                <c:pt idx="133">
                  <c:v>9.2978138133410742</c:v>
                </c:pt>
                <c:pt idx="134">
                  <c:v>9.8911253562474037</c:v>
                </c:pt>
                <c:pt idx="135">
                  <c:v>10.480100276242046</c:v>
                </c:pt>
                <c:pt idx="136">
                  <c:v>16.234921422266783</c:v>
                </c:pt>
                <c:pt idx="137">
                  <c:v>21.880264999874402</c:v>
                </c:pt>
                <c:pt idx="138">
                  <c:v>27.484157045625199</c:v>
                </c:pt>
                <c:pt idx="139">
                  <c:v>33.067786522585173</c:v>
                </c:pt>
                <c:pt idx="140">
                  <c:v>38.639971305491663</c:v>
                </c:pt>
                <c:pt idx="141">
                  <c:v>44.20505170071727</c:v>
                </c:pt>
                <c:pt idx="142">
                  <c:v>49.765416352244252</c:v>
                </c:pt>
                <c:pt idx="143">
                  <c:v>55.322489677060389</c:v>
                </c:pt>
                <c:pt idx="144">
                  <c:v>60.877174298742645</c:v>
                </c:pt>
                <c:pt idx="145">
                  <c:v>66.430070140179367</c:v>
                </c:pt>
                <c:pt idx="146">
                  <c:v>71.981591594775821</c:v>
                </c:pt>
                <c:pt idx="147">
                  <c:v>77.532034146787751</c:v>
                </c:pt>
                <c:pt idx="148">
                  <c:v>83.081614192097149</c:v>
                </c:pt>
                <c:pt idx="149">
                  <c:v>88.630493852957599</c:v>
                </c:pt>
                <c:pt idx="150">
                  <c:v>94.178796997130846</c:v>
                </c:pt>
                <c:pt idx="151">
                  <c:v>99.726619897210981</c:v>
                </c:pt>
                <c:pt idx="152">
                  <c:v>105.27403851260806</c:v>
                </c:pt>
                <c:pt idx="153">
                  <c:v>110.82111358042243</c:v>
                </c:pt>
              </c:numCache>
            </c:numRef>
          </c:yVal>
          <c:smooth val="1"/>
          <c:extLst>
            <c:ext xmlns:c16="http://schemas.microsoft.com/office/drawing/2014/chart" uri="{C3380CC4-5D6E-409C-BE32-E72D297353CC}">
              <c16:uniqueId val="{00000000-874D-44D2-AB88-2F6DE3EF0711}"/>
            </c:ext>
          </c:extLst>
        </c:ser>
        <c:ser>
          <c:idx val="5"/>
          <c:order val="1"/>
          <c:tx>
            <c:strRef>
              <c:f>'CIN Network Design'!$AH$28</c:f>
              <c:strCache>
                <c:ptCount val="1"/>
                <c:pt idx="0">
                  <c:v>Z1(TOTAL)</c:v>
                </c:pt>
              </c:strCache>
            </c:strRef>
          </c:tx>
          <c:spPr>
            <a:ln w="25400" cap="rnd">
              <a:solidFill>
                <a:schemeClr val="accent2"/>
              </a:solidFill>
              <a:round/>
            </a:ln>
            <a:effectLst/>
          </c:spPr>
          <c:marker>
            <c:symbol val="none"/>
          </c:marker>
          <c:xVal>
            <c:numRef>
              <c:f>'CIN Network Design'!$X$29:$X$182</c:f>
              <c:numCache>
                <c:formatCode>#,##0</c:formatCode>
                <c:ptCount val="154"/>
                <c:pt idx="0">
                  <c:v>1</c:v>
                </c:pt>
                <c:pt idx="1">
                  <c:v>2</c:v>
                </c:pt>
                <c:pt idx="2">
                  <c:v>3</c:v>
                </c:pt>
                <c:pt idx="3">
                  <c:v>4</c:v>
                </c:pt>
                <c:pt idx="4">
                  <c:v>5</c:v>
                </c:pt>
                <c:pt idx="5">
                  <c:v>6</c:v>
                </c:pt>
                <c:pt idx="6">
                  <c:v>7</c:v>
                </c:pt>
                <c:pt idx="7">
                  <c:v>8</c:v>
                </c:pt>
                <c:pt idx="8">
                  <c:v>9</c:v>
                </c:pt>
                <c:pt idx="9">
                  <c:v>10</c:v>
                </c:pt>
                <c:pt idx="10">
                  <c:v>15</c:v>
                </c:pt>
                <c:pt idx="11">
                  <c:v>20</c:v>
                </c:pt>
                <c:pt idx="12">
                  <c:v>25</c:v>
                </c:pt>
                <c:pt idx="13">
                  <c:v>30</c:v>
                </c:pt>
                <c:pt idx="14">
                  <c:v>35</c:v>
                </c:pt>
                <c:pt idx="15">
                  <c:v>40</c:v>
                </c:pt>
                <c:pt idx="16">
                  <c:v>45</c:v>
                </c:pt>
                <c:pt idx="17">
                  <c:v>50</c:v>
                </c:pt>
                <c:pt idx="18">
                  <c:v>55</c:v>
                </c:pt>
                <c:pt idx="19">
                  <c:v>60</c:v>
                </c:pt>
                <c:pt idx="20">
                  <c:v>65</c:v>
                </c:pt>
                <c:pt idx="21">
                  <c:v>70</c:v>
                </c:pt>
                <c:pt idx="22">
                  <c:v>75</c:v>
                </c:pt>
                <c:pt idx="23">
                  <c:v>80</c:v>
                </c:pt>
                <c:pt idx="24">
                  <c:v>85</c:v>
                </c:pt>
                <c:pt idx="25">
                  <c:v>90</c:v>
                </c:pt>
                <c:pt idx="26">
                  <c:v>95</c:v>
                </c:pt>
                <c:pt idx="27">
                  <c:v>100</c:v>
                </c:pt>
                <c:pt idx="28">
                  <c:v>150</c:v>
                </c:pt>
                <c:pt idx="29">
                  <c:v>200</c:v>
                </c:pt>
                <c:pt idx="30">
                  <c:v>250</c:v>
                </c:pt>
                <c:pt idx="31">
                  <c:v>300</c:v>
                </c:pt>
                <c:pt idx="32">
                  <c:v>350</c:v>
                </c:pt>
                <c:pt idx="33">
                  <c:v>400</c:v>
                </c:pt>
                <c:pt idx="34">
                  <c:v>450</c:v>
                </c:pt>
                <c:pt idx="35">
                  <c:v>500</c:v>
                </c:pt>
                <c:pt idx="36">
                  <c:v>550</c:v>
                </c:pt>
                <c:pt idx="37">
                  <c:v>600</c:v>
                </c:pt>
                <c:pt idx="38">
                  <c:v>650</c:v>
                </c:pt>
                <c:pt idx="39">
                  <c:v>700</c:v>
                </c:pt>
                <c:pt idx="40">
                  <c:v>750</c:v>
                </c:pt>
                <c:pt idx="41">
                  <c:v>800</c:v>
                </c:pt>
                <c:pt idx="42">
                  <c:v>850</c:v>
                </c:pt>
                <c:pt idx="43">
                  <c:v>900</c:v>
                </c:pt>
                <c:pt idx="44">
                  <c:v>950</c:v>
                </c:pt>
                <c:pt idx="45">
                  <c:v>1000</c:v>
                </c:pt>
                <c:pt idx="46">
                  <c:v>1500</c:v>
                </c:pt>
                <c:pt idx="47">
                  <c:v>2000</c:v>
                </c:pt>
                <c:pt idx="48">
                  <c:v>2500</c:v>
                </c:pt>
                <c:pt idx="49">
                  <c:v>3000</c:v>
                </c:pt>
                <c:pt idx="50">
                  <c:v>3500</c:v>
                </c:pt>
                <c:pt idx="51">
                  <c:v>4000</c:v>
                </c:pt>
                <c:pt idx="52">
                  <c:v>4500</c:v>
                </c:pt>
                <c:pt idx="53">
                  <c:v>5000</c:v>
                </c:pt>
                <c:pt idx="54">
                  <c:v>5500</c:v>
                </c:pt>
                <c:pt idx="55">
                  <c:v>6000</c:v>
                </c:pt>
                <c:pt idx="56">
                  <c:v>6500</c:v>
                </c:pt>
                <c:pt idx="57">
                  <c:v>7000</c:v>
                </c:pt>
                <c:pt idx="58">
                  <c:v>7500</c:v>
                </c:pt>
                <c:pt idx="59">
                  <c:v>8000</c:v>
                </c:pt>
                <c:pt idx="60">
                  <c:v>8500</c:v>
                </c:pt>
                <c:pt idx="61">
                  <c:v>9000</c:v>
                </c:pt>
                <c:pt idx="62">
                  <c:v>9500</c:v>
                </c:pt>
                <c:pt idx="63">
                  <c:v>10000</c:v>
                </c:pt>
                <c:pt idx="64">
                  <c:v>15000</c:v>
                </c:pt>
                <c:pt idx="65">
                  <c:v>20000</c:v>
                </c:pt>
                <c:pt idx="66">
                  <c:v>25000</c:v>
                </c:pt>
                <c:pt idx="67">
                  <c:v>30000</c:v>
                </c:pt>
                <c:pt idx="68">
                  <c:v>35000</c:v>
                </c:pt>
                <c:pt idx="69">
                  <c:v>40000</c:v>
                </c:pt>
                <c:pt idx="70">
                  <c:v>45000</c:v>
                </c:pt>
                <c:pt idx="71">
                  <c:v>50000</c:v>
                </c:pt>
                <c:pt idx="72">
                  <c:v>55000</c:v>
                </c:pt>
                <c:pt idx="73">
                  <c:v>60000</c:v>
                </c:pt>
                <c:pt idx="74">
                  <c:v>65000</c:v>
                </c:pt>
                <c:pt idx="75">
                  <c:v>70000</c:v>
                </c:pt>
                <c:pt idx="76">
                  <c:v>75000</c:v>
                </c:pt>
                <c:pt idx="77">
                  <c:v>80000</c:v>
                </c:pt>
                <c:pt idx="78">
                  <c:v>85000</c:v>
                </c:pt>
                <c:pt idx="79">
                  <c:v>90000</c:v>
                </c:pt>
                <c:pt idx="80">
                  <c:v>95000</c:v>
                </c:pt>
                <c:pt idx="81">
                  <c:v>100000</c:v>
                </c:pt>
                <c:pt idx="82">
                  <c:v>150000</c:v>
                </c:pt>
                <c:pt idx="83">
                  <c:v>200000</c:v>
                </c:pt>
                <c:pt idx="84">
                  <c:v>250000</c:v>
                </c:pt>
                <c:pt idx="85">
                  <c:v>300000</c:v>
                </c:pt>
                <c:pt idx="86">
                  <c:v>350000</c:v>
                </c:pt>
                <c:pt idx="87">
                  <c:v>400000</c:v>
                </c:pt>
                <c:pt idx="88">
                  <c:v>450000</c:v>
                </c:pt>
                <c:pt idx="89">
                  <c:v>500000</c:v>
                </c:pt>
                <c:pt idx="90">
                  <c:v>550000</c:v>
                </c:pt>
                <c:pt idx="91">
                  <c:v>600000</c:v>
                </c:pt>
                <c:pt idx="92">
                  <c:v>650000</c:v>
                </c:pt>
                <c:pt idx="93">
                  <c:v>700000</c:v>
                </c:pt>
                <c:pt idx="94">
                  <c:v>750000</c:v>
                </c:pt>
                <c:pt idx="95">
                  <c:v>800000</c:v>
                </c:pt>
                <c:pt idx="96">
                  <c:v>850000</c:v>
                </c:pt>
                <c:pt idx="97">
                  <c:v>900000</c:v>
                </c:pt>
                <c:pt idx="98">
                  <c:v>950000</c:v>
                </c:pt>
                <c:pt idx="99">
                  <c:v>1000000</c:v>
                </c:pt>
                <c:pt idx="100">
                  <c:v>1500000</c:v>
                </c:pt>
                <c:pt idx="101">
                  <c:v>2000000</c:v>
                </c:pt>
                <c:pt idx="102">
                  <c:v>2500000</c:v>
                </c:pt>
                <c:pt idx="103">
                  <c:v>3000000</c:v>
                </c:pt>
                <c:pt idx="104">
                  <c:v>3500000</c:v>
                </c:pt>
                <c:pt idx="105">
                  <c:v>4000000</c:v>
                </c:pt>
                <c:pt idx="106">
                  <c:v>4500000</c:v>
                </c:pt>
                <c:pt idx="107">
                  <c:v>5000000</c:v>
                </c:pt>
                <c:pt idx="108">
                  <c:v>5500000</c:v>
                </c:pt>
                <c:pt idx="109">
                  <c:v>6000000</c:v>
                </c:pt>
                <c:pt idx="110">
                  <c:v>6500000</c:v>
                </c:pt>
                <c:pt idx="111">
                  <c:v>7000000</c:v>
                </c:pt>
                <c:pt idx="112">
                  <c:v>7500000</c:v>
                </c:pt>
                <c:pt idx="113">
                  <c:v>8000000</c:v>
                </c:pt>
                <c:pt idx="114">
                  <c:v>8500000</c:v>
                </c:pt>
                <c:pt idx="115">
                  <c:v>9000000</c:v>
                </c:pt>
                <c:pt idx="116">
                  <c:v>9500000</c:v>
                </c:pt>
                <c:pt idx="117">
                  <c:v>10000000</c:v>
                </c:pt>
                <c:pt idx="118">
                  <c:v>15000000</c:v>
                </c:pt>
                <c:pt idx="119">
                  <c:v>20000000</c:v>
                </c:pt>
                <c:pt idx="120">
                  <c:v>25000000</c:v>
                </c:pt>
                <c:pt idx="121">
                  <c:v>30000000</c:v>
                </c:pt>
                <c:pt idx="122">
                  <c:v>35000000</c:v>
                </c:pt>
                <c:pt idx="123">
                  <c:v>40000000</c:v>
                </c:pt>
                <c:pt idx="124">
                  <c:v>45000000</c:v>
                </c:pt>
                <c:pt idx="125">
                  <c:v>50000000</c:v>
                </c:pt>
                <c:pt idx="126">
                  <c:v>55000000</c:v>
                </c:pt>
                <c:pt idx="127">
                  <c:v>60000000</c:v>
                </c:pt>
                <c:pt idx="128">
                  <c:v>65000000</c:v>
                </c:pt>
                <c:pt idx="129">
                  <c:v>70000000</c:v>
                </c:pt>
                <c:pt idx="130">
                  <c:v>75000000</c:v>
                </c:pt>
                <c:pt idx="131">
                  <c:v>80000000</c:v>
                </c:pt>
                <c:pt idx="132">
                  <c:v>85000000</c:v>
                </c:pt>
                <c:pt idx="133">
                  <c:v>90000000</c:v>
                </c:pt>
                <c:pt idx="134">
                  <c:v>95000000</c:v>
                </c:pt>
                <c:pt idx="135">
                  <c:v>100000000</c:v>
                </c:pt>
                <c:pt idx="136">
                  <c:v>150000000</c:v>
                </c:pt>
                <c:pt idx="137">
                  <c:v>200000000</c:v>
                </c:pt>
                <c:pt idx="138">
                  <c:v>250000000</c:v>
                </c:pt>
                <c:pt idx="139">
                  <c:v>300000000</c:v>
                </c:pt>
                <c:pt idx="140">
                  <c:v>350000000</c:v>
                </c:pt>
                <c:pt idx="141">
                  <c:v>400000000</c:v>
                </c:pt>
                <c:pt idx="142">
                  <c:v>450000000</c:v>
                </c:pt>
                <c:pt idx="143">
                  <c:v>500000000</c:v>
                </c:pt>
                <c:pt idx="144">
                  <c:v>550000000</c:v>
                </c:pt>
                <c:pt idx="145">
                  <c:v>600000000</c:v>
                </c:pt>
                <c:pt idx="146">
                  <c:v>650000000</c:v>
                </c:pt>
                <c:pt idx="147">
                  <c:v>700000000</c:v>
                </c:pt>
                <c:pt idx="148">
                  <c:v>750000000</c:v>
                </c:pt>
                <c:pt idx="149">
                  <c:v>800000000</c:v>
                </c:pt>
                <c:pt idx="150">
                  <c:v>850000000</c:v>
                </c:pt>
                <c:pt idx="151">
                  <c:v>900000000</c:v>
                </c:pt>
                <c:pt idx="152">
                  <c:v>950000000</c:v>
                </c:pt>
                <c:pt idx="153">
                  <c:v>1000000000</c:v>
                </c:pt>
              </c:numCache>
            </c:numRef>
          </c:xVal>
          <c:yVal>
            <c:numRef>
              <c:f>'CIN Network Design'!$AH$29:$AH$182</c:f>
              <c:numCache>
                <c:formatCode>0.000000</c:formatCode>
                <c:ptCount val="154"/>
                <c:pt idx="0">
                  <c:v>2418768.1320955101</c:v>
                </c:pt>
                <c:pt idx="1">
                  <c:v>1209384.0660475094</c:v>
                </c:pt>
                <c:pt idx="2">
                  <c:v>806256.04403139988</c:v>
                </c:pt>
                <c:pt idx="3">
                  <c:v>604692.03302326333</c:v>
                </c:pt>
                <c:pt idx="4">
                  <c:v>483753.62641831563</c:v>
                </c:pt>
                <c:pt idx="5">
                  <c:v>403128.02201496274</c:v>
                </c:pt>
                <c:pt idx="6">
                  <c:v>345538.30458394968</c:v>
                </c:pt>
                <c:pt idx="7">
                  <c:v>302346.01651064877</c:v>
                </c:pt>
                <c:pt idx="8">
                  <c:v>268752.01467582275</c:v>
                </c:pt>
                <c:pt idx="9">
                  <c:v>241876.81320792923</c:v>
                </c:pt>
                <c:pt idx="10">
                  <c:v>161251.20880392109</c:v>
                </c:pt>
                <c:pt idx="11">
                  <c:v>120938.40660150745</c:v>
                </c:pt>
                <c:pt idx="12">
                  <c:v>96750.725279731661</c:v>
                </c:pt>
                <c:pt idx="13">
                  <c:v>80625.604398274794</c:v>
                </c:pt>
                <c:pt idx="14">
                  <c:v>69107.660911285842</c:v>
                </c:pt>
                <c:pt idx="15">
                  <c:v>60469.203295839376</c:v>
                </c:pt>
                <c:pt idx="16">
                  <c:v>53750.402928087889</c:v>
                </c:pt>
                <c:pt idx="17">
                  <c:v>48375.362633722892</c:v>
                </c:pt>
                <c:pt idx="18">
                  <c:v>43977.602392729888</c:v>
                </c:pt>
                <c:pt idx="19">
                  <c:v>40312.802191765877</c:v>
                </c:pt>
                <c:pt idx="20">
                  <c:v>37211.817406208771</c:v>
                </c:pt>
                <c:pt idx="21">
                  <c:v>34553.830447042812</c:v>
                </c:pt>
                <c:pt idx="22">
                  <c:v>32250.241748989782</c:v>
                </c:pt>
                <c:pt idx="23">
                  <c:v>30234.601638090993</c:v>
                </c:pt>
                <c:pt idx="24">
                  <c:v>28456.095657789818</c:v>
                </c:pt>
                <c:pt idx="25">
                  <c:v>26875.201452986661</c:v>
                </c:pt>
                <c:pt idx="26">
                  <c:v>25460.717164392358</c:v>
                </c:pt>
                <c:pt idx="27">
                  <c:v>24187.681304575577</c:v>
                </c:pt>
                <c:pt idx="28">
                  <c:v>16125.120856066082</c:v>
                </c:pt>
                <c:pt idx="29">
                  <c:v>12093.840627716045</c:v>
                </c:pt>
                <c:pt idx="30">
                  <c:v>9675.0724874297903</c:v>
                </c:pt>
                <c:pt idx="31">
                  <c:v>8062.5603911754279</c:v>
                </c:pt>
                <c:pt idx="32">
                  <c:v>6910.7660343678599</c:v>
                </c:pt>
                <c:pt idx="33">
                  <c:v>6046.9202647145376</c:v>
                </c:pt>
                <c:pt idx="34">
                  <c:v>5375.0402198307156</c:v>
                </c:pt>
                <c:pt idx="35">
                  <c:v>4837.5361822855411</c:v>
                </c:pt>
                <c:pt idx="36">
                  <c:v>4397.7601500775645</c:v>
                </c:pt>
                <c:pt idx="37">
                  <c:v>4031.2801218724881</c:v>
                </c:pt>
                <c:pt idx="38">
                  <c:v>3721.1816352081041</c:v>
                </c:pt>
                <c:pt idx="39">
                  <c:v>3455.3829311828345</c:v>
                </c:pt>
                <c:pt idx="40">
                  <c:v>3225.0240532688567</c:v>
                </c:pt>
                <c:pt idx="41">
                  <c:v>3023.4600340703037</c:v>
                </c:pt>
                <c:pt idx="42">
                  <c:v>2845.609427931513</c:v>
                </c:pt>
                <c:pt idx="43">
                  <c:v>2687.5199993425222</c:v>
                </c:pt>
                <c:pt idx="44">
                  <c:v>2546.0715623744181</c:v>
                </c:pt>
                <c:pt idx="45">
                  <c:v>2418.7679682840662</c:v>
                </c:pt>
                <c:pt idx="46">
                  <c:v>1612.5118423463889</c:v>
                </c:pt>
                <c:pt idx="47">
                  <c:v>1209.3837384246788</c:v>
                </c:pt>
                <c:pt idx="48">
                  <c:v>967.50684330937497</c:v>
                </c:pt>
                <c:pt idx="49">
                  <c:v>806.25555259729538</c:v>
                </c:pt>
                <c:pt idx="50">
                  <c:v>691.07603582993806</c:v>
                </c:pt>
                <c:pt idx="51">
                  <c:v>604.69137777805508</c:v>
                </c:pt>
                <c:pt idx="52">
                  <c:v>537.50329220317838</c:v>
                </c:pt>
                <c:pt idx="53">
                  <c:v>483.75280736223039</c:v>
                </c:pt>
                <c:pt idx="54">
                  <c:v>439.77512305507315</c:v>
                </c:pt>
                <c:pt idx="55">
                  <c:v>403.12703914828359</c:v>
                </c:pt>
                <c:pt idx="56">
                  <c:v>372.11710939564819</c:v>
                </c:pt>
                <c:pt idx="57">
                  <c:v>345.53715790701636</c:v>
                </c:pt>
                <c:pt idx="58">
                  <c:v>322.50118902961287</c:v>
                </c:pt>
                <c:pt idx="59">
                  <c:v>302.34470602385818</c:v>
                </c:pt>
                <c:pt idx="60">
                  <c:v>284.55956432419288</c:v>
                </c:pt>
                <c:pt idx="61">
                  <c:v>268.75054037962809</c:v>
                </c:pt>
                <c:pt idx="62">
                  <c:v>254.6056155972793</c:v>
                </c:pt>
                <c:pt idx="63">
                  <c:v>241.87517510284033</c:v>
                </c:pt>
                <c:pt idx="64">
                  <c:v>161.24875166399218</c:v>
                </c:pt>
                <c:pt idx="65">
                  <c:v>120.93513044798486</c:v>
                </c:pt>
                <c:pt idx="66">
                  <c:v>96.746630140944617</c:v>
                </c:pt>
                <c:pt idx="67">
                  <c:v>80.620690309636771</c:v>
                </c:pt>
                <c:pt idx="68">
                  <c:v>69.10192791529569</c:v>
                </c:pt>
                <c:pt idx="69">
                  <c:v>60.462651442082624</c:v>
                </c:pt>
                <c:pt idx="70">
                  <c:v>53.743032273238541</c:v>
                </c:pt>
                <c:pt idx="71">
                  <c:v>48.367173241545316</c:v>
                </c:pt>
                <c:pt idx="72">
                  <c:v>43.96859433408099</c:v>
                </c:pt>
                <c:pt idx="73">
                  <c:v>40.30297554459748</c:v>
                </c:pt>
                <c:pt idx="74">
                  <c:v>37.201172255570306</c:v>
                </c:pt>
                <c:pt idx="75">
                  <c:v>34.542366885084128</c:v>
                </c:pt>
                <c:pt idx="76">
                  <c:v>32.237959874964282</c:v>
                </c:pt>
                <c:pt idx="77">
                  <c:v>30.22150155835903</c:v>
                </c:pt>
                <c:pt idx="78">
                  <c:v>28.44217748582227</c:v>
                </c:pt>
                <c:pt idx="79">
                  <c:v>26.860465309368784</c:v>
                </c:pt>
                <c:pt idx="80">
                  <c:v>25.445163176827869</c:v>
                </c:pt>
                <c:pt idx="81">
                  <c:v>24.171309607890979</c:v>
                </c:pt>
                <c:pt idx="82">
                  <c:v>16.100581054228638</c:v>
                </c:pt>
                <c:pt idx="83">
                  <c:v>12.06115407988727</c:v>
                </c:pt>
                <c:pt idx="84">
                  <c:v>9.6342677850078804</c:v>
                </c:pt>
                <c:pt idx="85">
                  <c:v>8.0136734548208697</c:v>
                </c:pt>
                <c:pt idx="86">
                  <c:v>6.853840236009928</c:v>
                </c:pt>
                <c:pt idx="87">
                  <c:v>5.982006575014295</c:v>
                </c:pt>
                <c:pt idx="88">
                  <c:v>5.3021973816631789</c:v>
                </c:pt>
                <c:pt idx="89">
                  <c:v>4.756830910885447</c:v>
                </c:pt>
                <c:pt idx="90">
                  <c:v>4.3092673605678726</c:v>
                </c:pt>
                <c:pt idx="91">
                  <c:v>3.9350831849603676</c:v>
                </c:pt>
                <c:pt idx="92">
                  <c:v>3.6173726618871043</c:v>
                </c:pt>
                <c:pt idx="93">
                  <c:v>3.3440630873188915</c:v>
                </c:pt>
                <c:pt idx="94">
                  <c:v>3.1063039049679406</c:v>
                </c:pt>
                <c:pt idx="95">
                  <c:v>2.897459924722078</c:v>
                </c:pt>
                <c:pt idx="96">
                  <c:v>2.7124598877905681</c:v>
                </c:pt>
                <c:pt idx="97">
                  <c:v>2.5473621884397506</c:v>
                </c:pt>
                <c:pt idx="98">
                  <c:v>2.3990577474377321</c:v>
                </c:pt>
                <c:pt idx="99">
                  <c:v>2.2650620341804033</c:v>
                </c:pt>
                <c:pt idx="100">
                  <c:v>1.4038878872927594</c:v>
                </c:pt>
                <c:pt idx="101">
                  <c:v>0.97990341303324247</c:v>
                </c:pt>
                <c:pt idx="102">
                  <c:v>0.77254240487069714</c:v>
                </c:pt>
                <c:pt idx="103">
                  <c:v>0.71428746633851925</c:v>
                </c:pt>
                <c:pt idx="104">
                  <c:v>0.75723618403426385</c:v>
                </c:pt>
                <c:pt idx="105">
                  <c:v>0.85638185743633832</c:v>
                </c:pt>
                <c:pt idx="106">
                  <c:v>0.98225321298914736</c:v>
                </c:pt>
                <c:pt idx="107">
                  <c:v>1.1199809888908667</c:v>
                </c:pt>
                <c:pt idx="108">
                  <c:v>1.2627064333758353</c:v>
                </c:pt>
                <c:pt idx="109">
                  <c:v>1.4072942899565084</c:v>
                </c:pt>
                <c:pt idx="110">
                  <c:v>1.5522992857095685</c:v>
                </c:pt>
                <c:pt idx="111">
                  <c:v>1.6970591229825411</c:v>
                </c:pt>
                <c:pt idx="112">
                  <c:v>1.841284403904051</c:v>
                </c:pt>
                <c:pt idx="113">
                  <c:v>1.9848669350268853</c:v>
                </c:pt>
                <c:pt idx="114">
                  <c:v>2.1277869849106015</c:v>
                </c:pt>
                <c:pt idx="115">
                  <c:v>2.2700671199552098</c:v>
                </c:pt>
                <c:pt idx="116">
                  <c:v>2.4117487750423985</c:v>
                </c:pt>
                <c:pt idx="117">
                  <c:v>2.5528802719026866</c:v>
                </c:pt>
                <c:pt idx="118">
                  <c:v>3.9431735507591763</c:v>
                </c:pt>
                <c:pt idx="119">
                  <c:v>5.3128836962695223</c:v>
                </c:pt>
                <c:pt idx="120">
                  <c:v>6.6735693681291703</c:v>
                </c:pt>
                <c:pt idx="121">
                  <c:v>8.0295888560146427</c:v>
                </c:pt>
                <c:pt idx="122">
                  <c:v>9.3828977848622106</c:v>
                </c:pt>
                <c:pt idx="123">
                  <c:v>10.734496668424372</c:v>
                </c:pt>
                <c:pt idx="124">
                  <c:v>12.084948799926218</c:v>
                </c:pt>
                <c:pt idx="125">
                  <c:v>13.434595033775866</c:v>
                </c:pt>
                <c:pt idx="126">
                  <c:v>14.783653529958183</c:v>
                </c:pt>
                <c:pt idx="127">
                  <c:v>16.13227032591837</c:v>
                </c:pt>
                <c:pt idx="128">
                  <c:v>17.48054683102502</c:v>
                </c:pt>
                <c:pt idx="129">
                  <c:v>18.828555647446429</c:v>
                </c:pt>
                <c:pt idx="130">
                  <c:v>20.176350112273294</c:v>
                </c:pt>
                <c:pt idx="131">
                  <c:v>21.523970285309563</c:v>
                </c:pt>
                <c:pt idx="132">
                  <c:v>22.871446835773487</c:v>
                </c:pt>
                <c:pt idx="133">
                  <c:v>24.218803639999066</c:v>
                </c:pt>
                <c:pt idx="134">
                  <c:v>25.566059562480664</c:v>
                </c:pt>
                <c:pt idx="135">
                  <c:v>26.913229704730604</c:v>
                </c:pt>
                <c:pt idx="136">
                  <c:v>40.382098125673949</c:v>
                </c:pt>
                <c:pt idx="137">
                  <c:v>53.848517830632396</c:v>
                </c:pt>
                <c:pt idx="138">
                  <c:v>67.313957345794549</c:v>
                </c:pt>
                <c:pt idx="139">
                  <c:v>80.778906621501832</c:v>
                </c:pt>
                <c:pt idx="140">
                  <c:v>94.243575717932515</c:v>
                </c:pt>
                <c:pt idx="141">
                  <c:v>107.70806968680363</c:v>
                </c:pt>
                <c:pt idx="142">
                  <c:v>121.17244689738183</c:v>
                </c:pt>
                <c:pt idx="143">
                  <c:v>134.63674237403293</c:v>
                </c:pt>
                <c:pt idx="144">
                  <c:v>148.10097840621788</c:v>
                </c:pt>
                <c:pt idx="145">
                  <c:v>161.56516985416516</c:v>
                </c:pt>
                <c:pt idx="146">
                  <c:v>175.02932700602793</c:v>
                </c:pt>
                <c:pt idx="147">
                  <c:v>188.49345721065205</c:v>
                </c:pt>
                <c:pt idx="148">
                  <c:v>201.95756585728594</c:v>
                </c:pt>
                <c:pt idx="149">
                  <c:v>215.42165698792218</c:v>
                </c:pt>
                <c:pt idx="150">
                  <c:v>228.88573369353156</c:v>
                </c:pt>
                <c:pt idx="151">
                  <c:v>242.34979837822456</c:v>
                </c:pt>
                <c:pt idx="152">
                  <c:v>255.81385293999801</c:v>
                </c:pt>
                <c:pt idx="153">
                  <c:v>269.27789889725926</c:v>
                </c:pt>
              </c:numCache>
            </c:numRef>
          </c:yVal>
          <c:smooth val="1"/>
          <c:extLst>
            <c:ext xmlns:c16="http://schemas.microsoft.com/office/drawing/2014/chart" uri="{C3380CC4-5D6E-409C-BE32-E72D297353CC}">
              <c16:uniqueId val="{00000005-874D-44D2-AB88-2F6DE3EF0711}"/>
            </c:ext>
          </c:extLst>
        </c:ser>
        <c:ser>
          <c:idx val="6"/>
          <c:order val="2"/>
          <c:tx>
            <c:strRef>
              <c:f>'CIN Network Design'!$AM$28</c:f>
              <c:strCache>
                <c:ptCount val="1"/>
                <c:pt idx="0">
                  <c:v>Z2(TOTAL)</c:v>
                </c:pt>
              </c:strCache>
            </c:strRef>
          </c:tx>
          <c:spPr>
            <a:ln w="25400" cap="rnd">
              <a:solidFill>
                <a:schemeClr val="accent3"/>
              </a:solidFill>
              <a:round/>
            </a:ln>
            <a:effectLst/>
          </c:spPr>
          <c:marker>
            <c:symbol val="none"/>
          </c:marker>
          <c:xVal>
            <c:numRef>
              <c:f>'CIN Network Design'!$X$29:$X$182</c:f>
              <c:numCache>
                <c:formatCode>#,##0</c:formatCode>
                <c:ptCount val="154"/>
                <c:pt idx="0">
                  <c:v>1</c:v>
                </c:pt>
                <c:pt idx="1">
                  <c:v>2</c:v>
                </c:pt>
                <c:pt idx="2">
                  <c:v>3</c:v>
                </c:pt>
                <c:pt idx="3">
                  <c:v>4</c:v>
                </c:pt>
                <c:pt idx="4">
                  <c:v>5</c:v>
                </c:pt>
                <c:pt idx="5">
                  <c:v>6</c:v>
                </c:pt>
                <c:pt idx="6">
                  <c:v>7</c:v>
                </c:pt>
                <c:pt idx="7">
                  <c:v>8</c:v>
                </c:pt>
                <c:pt idx="8">
                  <c:v>9</c:v>
                </c:pt>
                <c:pt idx="9">
                  <c:v>10</c:v>
                </c:pt>
                <c:pt idx="10">
                  <c:v>15</c:v>
                </c:pt>
                <c:pt idx="11">
                  <c:v>20</c:v>
                </c:pt>
                <c:pt idx="12">
                  <c:v>25</c:v>
                </c:pt>
                <c:pt idx="13">
                  <c:v>30</c:v>
                </c:pt>
                <c:pt idx="14">
                  <c:v>35</c:v>
                </c:pt>
                <c:pt idx="15">
                  <c:v>40</c:v>
                </c:pt>
                <c:pt idx="16">
                  <c:v>45</c:v>
                </c:pt>
                <c:pt idx="17">
                  <c:v>50</c:v>
                </c:pt>
                <c:pt idx="18">
                  <c:v>55</c:v>
                </c:pt>
                <c:pt idx="19">
                  <c:v>60</c:v>
                </c:pt>
                <c:pt idx="20">
                  <c:v>65</c:v>
                </c:pt>
                <c:pt idx="21">
                  <c:v>70</c:v>
                </c:pt>
                <c:pt idx="22">
                  <c:v>75</c:v>
                </c:pt>
                <c:pt idx="23">
                  <c:v>80</c:v>
                </c:pt>
                <c:pt idx="24">
                  <c:v>85</c:v>
                </c:pt>
                <c:pt idx="25">
                  <c:v>90</c:v>
                </c:pt>
                <c:pt idx="26">
                  <c:v>95</c:v>
                </c:pt>
                <c:pt idx="27">
                  <c:v>100</c:v>
                </c:pt>
                <c:pt idx="28">
                  <c:v>150</c:v>
                </c:pt>
                <c:pt idx="29">
                  <c:v>200</c:v>
                </c:pt>
                <c:pt idx="30">
                  <c:v>250</c:v>
                </c:pt>
                <c:pt idx="31">
                  <c:v>300</c:v>
                </c:pt>
                <c:pt idx="32">
                  <c:v>350</c:v>
                </c:pt>
                <c:pt idx="33">
                  <c:v>400</c:v>
                </c:pt>
                <c:pt idx="34">
                  <c:v>450</c:v>
                </c:pt>
                <c:pt idx="35">
                  <c:v>500</c:v>
                </c:pt>
                <c:pt idx="36">
                  <c:v>550</c:v>
                </c:pt>
                <c:pt idx="37">
                  <c:v>600</c:v>
                </c:pt>
                <c:pt idx="38">
                  <c:v>650</c:v>
                </c:pt>
                <c:pt idx="39">
                  <c:v>700</c:v>
                </c:pt>
                <c:pt idx="40">
                  <c:v>750</c:v>
                </c:pt>
                <c:pt idx="41">
                  <c:v>800</c:v>
                </c:pt>
                <c:pt idx="42">
                  <c:v>850</c:v>
                </c:pt>
                <c:pt idx="43">
                  <c:v>900</c:v>
                </c:pt>
                <c:pt idx="44">
                  <c:v>950</c:v>
                </c:pt>
                <c:pt idx="45">
                  <c:v>1000</c:v>
                </c:pt>
                <c:pt idx="46">
                  <c:v>1500</c:v>
                </c:pt>
                <c:pt idx="47">
                  <c:v>2000</c:v>
                </c:pt>
                <c:pt idx="48">
                  <c:v>2500</c:v>
                </c:pt>
                <c:pt idx="49">
                  <c:v>3000</c:v>
                </c:pt>
                <c:pt idx="50">
                  <c:v>3500</c:v>
                </c:pt>
                <c:pt idx="51">
                  <c:v>4000</c:v>
                </c:pt>
                <c:pt idx="52">
                  <c:v>4500</c:v>
                </c:pt>
                <c:pt idx="53">
                  <c:v>5000</c:v>
                </c:pt>
                <c:pt idx="54">
                  <c:v>5500</c:v>
                </c:pt>
                <c:pt idx="55">
                  <c:v>6000</c:v>
                </c:pt>
                <c:pt idx="56">
                  <c:v>6500</c:v>
                </c:pt>
                <c:pt idx="57">
                  <c:v>7000</c:v>
                </c:pt>
                <c:pt idx="58">
                  <c:v>7500</c:v>
                </c:pt>
                <c:pt idx="59">
                  <c:v>8000</c:v>
                </c:pt>
                <c:pt idx="60">
                  <c:v>8500</c:v>
                </c:pt>
                <c:pt idx="61">
                  <c:v>9000</c:v>
                </c:pt>
                <c:pt idx="62">
                  <c:v>9500</c:v>
                </c:pt>
                <c:pt idx="63">
                  <c:v>10000</c:v>
                </c:pt>
                <c:pt idx="64">
                  <c:v>15000</c:v>
                </c:pt>
                <c:pt idx="65">
                  <c:v>20000</c:v>
                </c:pt>
                <c:pt idx="66">
                  <c:v>25000</c:v>
                </c:pt>
                <c:pt idx="67">
                  <c:v>30000</c:v>
                </c:pt>
                <c:pt idx="68">
                  <c:v>35000</c:v>
                </c:pt>
                <c:pt idx="69">
                  <c:v>40000</c:v>
                </c:pt>
                <c:pt idx="70">
                  <c:v>45000</c:v>
                </c:pt>
                <c:pt idx="71">
                  <c:v>50000</c:v>
                </c:pt>
                <c:pt idx="72">
                  <c:v>55000</c:v>
                </c:pt>
                <c:pt idx="73">
                  <c:v>60000</c:v>
                </c:pt>
                <c:pt idx="74">
                  <c:v>65000</c:v>
                </c:pt>
                <c:pt idx="75">
                  <c:v>70000</c:v>
                </c:pt>
                <c:pt idx="76">
                  <c:v>75000</c:v>
                </c:pt>
                <c:pt idx="77">
                  <c:v>80000</c:v>
                </c:pt>
                <c:pt idx="78">
                  <c:v>85000</c:v>
                </c:pt>
                <c:pt idx="79">
                  <c:v>90000</c:v>
                </c:pt>
                <c:pt idx="80">
                  <c:v>95000</c:v>
                </c:pt>
                <c:pt idx="81">
                  <c:v>100000</c:v>
                </c:pt>
                <c:pt idx="82">
                  <c:v>150000</c:v>
                </c:pt>
                <c:pt idx="83">
                  <c:v>200000</c:v>
                </c:pt>
                <c:pt idx="84">
                  <c:v>250000</c:v>
                </c:pt>
                <c:pt idx="85">
                  <c:v>300000</c:v>
                </c:pt>
                <c:pt idx="86">
                  <c:v>350000</c:v>
                </c:pt>
                <c:pt idx="87">
                  <c:v>400000</c:v>
                </c:pt>
                <c:pt idx="88">
                  <c:v>450000</c:v>
                </c:pt>
                <c:pt idx="89">
                  <c:v>500000</c:v>
                </c:pt>
                <c:pt idx="90">
                  <c:v>550000</c:v>
                </c:pt>
                <c:pt idx="91">
                  <c:v>600000</c:v>
                </c:pt>
                <c:pt idx="92">
                  <c:v>650000</c:v>
                </c:pt>
                <c:pt idx="93">
                  <c:v>700000</c:v>
                </c:pt>
                <c:pt idx="94">
                  <c:v>750000</c:v>
                </c:pt>
                <c:pt idx="95">
                  <c:v>800000</c:v>
                </c:pt>
                <c:pt idx="96">
                  <c:v>850000</c:v>
                </c:pt>
                <c:pt idx="97">
                  <c:v>900000</c:v>
                </c:pt>
                <c:pt idx="98">
                  <c:v>950000</c:v>
                </c:pt>
                <c:pt idx="99">
                  <c:v>1000000</c:v>
                </c:pt>
                <c:pt idx="100">
                  <c:v>1500000</c:v>
                </c:pt>
                <c:pt idx="101">
                  <c:v>2000000</c:v>
                </c:pt>
                <c:pt idx="102">
                  <c:v>2500000</c:v>
                </c:pt>
                <c:pt idx="103">
                  <c:v>3000000</c:v>
                </c:pt>
                <c:pt idx="104">
                  <c:v>3500000</c:v>
                </c:pt>
                <c:pt idx="105">
                  <c:v>4000000</c:v>
                </c:pt>
                <c:pt idx="106">
                  <c:v>4500000</c:v>
                </c:pt>
                <c:pt idx="107">
                  <c:v>5000000</c:v>
                </c:pt>
                <c:pt idx="108">
                  <c:v>5500000</c:v>
                </c:pt>
                <c:pt idx="109">
                  <c:v>6000000</c:v>
                </c:pt>
                <c:pt idx="110">
                  <c:v>6500000</c:v>
                </c:pt>
                <c:pt idx="111">
                  <c:v>7000000</c:v>
                </c:pt>
                <c:pt idx="112">
                  <c:v>7500000</c:v>
                </c:pt>
                <c:pt idx="113">
                  <c:v>8000000</c:v>
                </c:pt>
                <c:pt idx="114">
                  <c:v>8500000</c:v>
                </c:pt>
                <c:pt idx="115">
                  <c:v>9000000</c:v>
                </c:pt>
                <c:pt idx="116">
                  <c:v>9500000</c:v>
                </c:pt>
                <c:pt idx="117">
                  <c:v>10000000</c:v>
                </c:pt>
                <c:pt idx="118">
                  <c:v>15000000</c:v>
                </c:pt>
                <c:pt idx="119">
                  <c:v>20000000</c:v>
                </c:pt>
                <c:pt idx="120">
                  <c:v>25000000</c:v>
                </c:pt>
                <c:pt idx="121">
                  <c:v>30000000</c:v>
                </c:pt>
                <c:pt idx="122">
                  <c:v>35000000</c:v>
                </c:pt>
                <c:pt idx="123">
                  <c:v>40000000</c:v>
                </c:pt>
                <c:pt idx="124">
                  <c:v>45000000</c:v>
                </c:pt>
                <c:pt idx="125">
                  <c:v>50000000</c:v>
                </c:pt>
                <c:pt idx="126">
                  <c:v>55000000</c:v>
                </c:pt>
                <c:pt idx="127">
                  <c:v>60000000</c:v>
                </c:pt>
                <c:pt idx="128">
                  <c:v>65000000</c:v>
                </c:pt>
                <c:pt idx="129">
                  <c:v>70000000</c:v>
                </c:pt>
                <c:pt idx="130">
                  <c:v>75000000</c:v>
                </c:pt>
                <c:pt idx="131">
                  <c:v>80000000</c:v>
                </c:pt>
                <c:pt idx="132">
                  <c:v>85000000</c:v>
                </c:pt>
                <c:pt idx="133">
                  <c:v>90000000</c:v>
                </c:pt>
                <c:pt idx="134">
                  <c:v>95000000</c:v>
                </c:pt>
                <c:pt idx="135">
                  <c:v>100000000</c:v>
                </c:pt>
                <c:pt idx="136">
                  <c:v>150000000</c:v>
                </c:pt>
                <c:pt idx="137">
                  <c:v>200000000</c:v>
                </c:pt>
                <c:pt idx="138">
                  <c:v>250000000</c:v>
                </c:pt>
                <c:pt idx="139">
                  <c:v>300000000</c:v>
                </c:pt>
                <c:pt idx="140">
                  <c:v>350000000</c:v>
                </c:pt>
                <c:pt idx="141">
                  <c:v>400000000</c:v>
                </c:pt>
                <c:pt idx="142">
                  <c:v>450000000</c:v>
                </c:pt>
                <c:pt idx="143">
                  <c:v>500000000</c:v>
                </c:pt>
                <c:pt idx="144">
                  <c:v>550000000</c:v>
                </c:pt>
                <c:pt idx="145">
                  <c:v>600000000</c:v>
                </c:pt>
                <c:pt idx="146">
                  <c:v>650000000</c:v>
                </c:pt>
                <c:pt idx="147">
                  <c:v>700000000</c:v>
                </c:pt>
                <c:pt idx="148">
                  <c:v>750000000</c:v>
                </c:pt>
                <c:pt idx="149">
                  <c:v>800000000</c:v>
                </c:pt>
                <c:pt idx="150">
                  <c:v>850000000</c:v>
                </c:pt>
                <c:pt idx="151">
                  <c:v>900000000</c:v>
                </c:pt>
                <c:pt idx="152">
                  <c:v>950000000</c:v>
                </c:pt>
                <c:pt idx="153">
                  <c:v>1000000000</c:v>
                </c:pt>
              </c:numCache>
            </c:numRef>
          </c:xVal>
          <c:yVal>
            <c:numRef>
              <c:f>'CIN Network Design'!$AM$29:$AM$182</c:f>
              <c:numCache>
                <c:formatCode>0.000000</c:formatCode>
                <c:ptCount val="154"/>
                <c:pt idx="0">
                  <c:v>1.0000000000000001E-9</c:v>
                </c:pt>
                <c:pt idx="1">
                  <c:v>1.0000000000000001E-9</c:v>
                </c:pt>
                <c:pt idx="2">
                  <c:v>1.0000000000000001E-9</c:v>
                </c:pt>
                <c:pt idx="3">
                  <c:v>1.0000000000000001E-9</c:v>
                </c:pt>
                <c:pt idx="4">
                  <c:v>1.0000000000000001E-9</c:v>
                </c:pt>
                <c:pt idx="5">
                  <c:v>1.0000000000000001E-9</c:v>
                </c:pt>
                <c:pt idx="6">
                  <c:v>1.0000000000000001E-9</c:v>
                </c:pt>
                <c:pt idx="7">
                  <c:v>1.0000000000000001E-9</c:v>
                </c:pt>
                <c:pt idx="8">
                  <c:v>1.0000000000000001E-9</c:v>
                </c:pt>
                <c:pt idx="9">
                  <c:v>1.0000000000000001E-9</c:v>
                </c:pt>
                <c:pt idx="10">
                  <c:v>1.0000000000000001E-9</c:v>
                </c:pt>
                <c:pt idx="11">
                  <c:v>1.0000000000000001E-9</c:v>
                </c:pt>
                <c:pt idx="12">
                  <c:v>1.0000000000000001E-9</c:v>
                </c:pt>
                <c:pt idx="13">
                  <c:v>1.0000000000000001E-9</c:v>
                </c:pt>
                <c:pt idx="14">
                  <c:v>1.0000000000000001E-9</c:v>
                </c:pt>
                <c:pt idx="15">
                  <c:v>1.0000000000000001E-9</c:v>
                </c:pt>
                <c:pt idx="16">
                  <c:v>1.0000000000000001E-9</c:v>
                </c:pt>
                <c:pt idx="17">
                  <c:v>1.0000000000000001E-9</c:v>
                </c:pt>
                <c:pt idx="18">
                  <c:v>1.0000000000000001E-9</c:v>
                </c:pt>
                <c:pt idx="19">
                  <c:v>1.0000000000000001E-9</c:v>
                </c:pt>
                <c:pt idx="20">
                  <c:v>1.0000000000000001E-9</c:v>
                </c:pt>
                <c:pt idx="21">
                  <c:v>1.0000000000000001E-9</c:v>
                </c:pt>
                <c:pt idx="22">
                  <c:v>1.0000000000000001E-9</c:v>
                </c:pt>
                <c:pt idx="23">
                  <c:v>1.0000000000000001E-9</c:v>
                </c:pt>
                <c:pt idx="24">
                  <c:v>1.0000000000000001E-9</c:v>
                </c:pt>
                <c:pt idx="25">
                  <c:v>1.0000000000000001E-9</c:v>
                </c:pt>
                <c:pt idx="26">
                  <c:v>1.0000000000000001E-9</c:v>
                </c:pt>
                <c:pt idx="27">
                  <c:v>1.0000000000000001E-9</c:v>
                </c:pt>
                <c:pt idx="28">
                  <c:v>1.0000000000000001E-9</c:v>
                </c:pt>
                <c:pt idx="29">
                  <c:v>1.0000000000000001E-9</c:v>
                </c:pt>
                <c:pt idx="30">
                  <c:v>1.0000000000000001E-9</c:v>
                </c:pt>
                <c:pt idx="31">
                  <c:v>1.0000000000000001E-9</c:v>
                </c:pt>
                <c:pt idx="32">
                  <c:v>1.0000000000000001E-9</c:v>
                </c:pt>
                <c:pt idx="33">
                  <c:v>1.0000000000000001E-9</c:v>
                </c:pt>
                <c:pt idx="34">
                  <c:v>1.0000000000000001E-9</c:v>
                </c:pt>
                <c:pt idx="35">
                  <c:v>1.0000000000000001E-9</c:v>
                </c:pt>
                <c:pt idx="36">
                  <c:v>1.0000000000000001E-9</c:v>
                </c:pt>
                <c:pt idx="37">
                  <c:v>1.0000000000000001E-9</c:v>
                </c:pt>
                <c:pt idx="38">
                  <c:v>1.0000000000000001E-9</c:v>
                </c:pt>
                <c:pt idx="39">
                  <c:v>1.0000000000000001E-9</c:v>
                </c:pt>
                <c:pt idx="40">
                  <c:v>1.0000000000000001E-9</c:v>
                </c:pt>
                <c:pt idx="41">
                  <c:v>1.0000000000000001E-9</c:v>
                </c:pt>
                <c:pt idx="42">
                  <c:v>1.0000000000000001E-9</c:v>
                </c:pt>
                <c:pt idx="43">
                  <c:v>1.0000000000000001E-9</c:v>
                </c:pt>
                <c:pt idx="44">
                  <c:v>1.0000000000000001E-9</c:v>
                </c:pt>
                <c:pt idx="45">
                  <c:v>1.0000000000000001E-9</c:v>
                </c:pt>
                <c:pt idx="46">
                  <c:v>1.0000000000000001E-9</c:v>
                </c:pt>
                <c:pt idx="47">
                  <c:v>1.0000000000000001E-9</c:v>
                </c:pt>
                <c:pt idx="48">
                  <c:v>1.0000000000000001E-9</c:v>
                </c:pt>
                <c:pt idx="49">
                  <c:v>1.0000000000000001E-9</c:v>
                </c:pt>
                <c:pt idx="50">
                  <c:v>1.0000000000000001E-9</c:v>
                </c:pt>
                <c:pt idx="51">
                  <c:v>1.0000000000000001E-9</c:v>
                </c:pt>
                <c:pt idx="52">
                  <c:v>1.0000000000000001E-9</c:v>
                </c:pt>
                <c:pt idx="53">
                  <c:v>1.0000000000000001E-9</c:v>
                </c:pt>
                <c:pt idx="54">
                  <c:v>1.0000000000000001E-9</c:v>
                </c:pt>
                <c:pt idx="55">
                  <c:v>1.0000000000000001E-9</c:v>
                </c:pt>
                <c:pt idx="56">
                  <c:v>1.0000000000000001E-9</c:v>
                </c:pt>
                <c:pt idx="57">
                  <c:v>1.0000000000000001E-9</c:v>
                </c:pt>
                <c:pt idx="58">
                  <c:v>1.0000000000000001E-9</c:v>
                </c:pt>
                <c:pt idx="59">
                  <c:v>1.0000000000000001E-9</c:v>
                </c:pt>
                <c:pt idx="60">
                  <c:v>1.0000000000000001E-9</c:v>
                </c:pt>
                <c:pt idx="61">
                  <c:v>1.0000000000000001E-9</c:v>
                </c:pt>
                <c:pt idx="62">
                  <c:v>1.0000000000000001E-9</c:v>
                </c:pt>
                <c:pt idx="63">
                  <c:v>1.0000000000000001E-9</c:v>
                </c:pt>
                <c:pt idx="64">
                  <c:v>1.0000000000000001E-9</c:v>
                </c:pt>
                <c:pt idx="65">
                  <c:v>1.0000000000000001E-9</c:v>
                </c:pt>
                <c:pt idx="66">
                  <c:v>1.0000000000000001E-9</c:v>
                </c:pt>
                <c:pt idx="67">
                  <c:v>1.0000000000000001E-9</c:v>
                </c:pt>
                <c:pt idx="68">
                  <c:v>1.0000000000000001E-9</c:v>
                </c:pt>
                <c:pt idx="69">
                  <c:v>1.0000000000000001E-9</c:v>
                </c:pt>
                <c:pt idx="70">
                  <c:v>1.0000000000000001E-9</c:v>
                </c:pt>
                <c:pt idx="71">
                  <c:v>1.0000000000000001E-9</c:v>
                </c:pt>
                <c:pt idx="72">
                  <c:v>1.0000000000000001E-9</c:v>
                </c:pt>
                <c:pt idx="73">
                  <c:v>1.0000000000000001E-9</c:v>
                </c:pt>
                <c:pt idx="74">
                  <c:v>1.0000000000000001E-9</c:v>
                </c:pt>
                <c:pt idx="75">
                  <c:v>1.0000000000000001E-9</c:v>
                </c:pt>
                <c:pt idx="76">
                  <c:v>1.0000000000000001E-9</c:v>
                </c:pt>
                <c:pt idx="77">
                  <c:v>1.0000000000000001E-9</c:v>
                </c:pt>
                <c:pt idx="78">
                  <c:v>1.0000000000000001E-9</c:v>
                </c:pt>
                <c:pt idx="79">
                  <c:v>1.0000000000000001E-9</c:v>
                </c:pt>
                <c:pt idx="80">
                  <c:v>1.0000000000000001E-9</c:v>
                </c:pt>
                <c:pt idx="81">
                  <c:v>1.0000000000000001E-9</c:v>
                </c:pt>
                <c:pt idx="82">
                  <c:v>1.0000000000000001E-9</c:v>
                </c:pt>
                <c:pt idx="83">
                  <c:v>1.0000000000000001E-9</c:v>
                </c:pt>
                <c:pt idx="84">
                  <c:v>1.0000000000000001E-9</c:v>
                </c:pt>
                <c:pt idx="85">
                  <c:v>1.0000000000000001E-9</c:v>
                </c:pt>
                <c:pt idx="86">
                  <c:v>1.0000000000000001E-9</c:v>
                </c:pt>
                <c:pt idx="87">
                  <c:v>1.0000000000000001E-9</c:v>
                </c:pt>
                <c:pt idx="88">
                  <c:v>1.0000000000000001E-9</c:v>
                </c:pt>
                <c:pt idx="89">
                  <c:v>1.0000000000000001E-9</c:v>
                </c:pt>
                <c:pt idx="90">
                  <c:v>1.0000000000000001E-9</c:v>
                </c:pt>
                <c:pt idx="91">
                  <c:v>1.0000000000000001E-9</c:v>
                </c:pt>
                <c:pt idx="92">
                  <c:v>1.0000000000000001E-9</c:v>
                </c:pt>
                <c:pt idx="93">
                  <c:v>1.0000000000000001E-9</c:v>
                </c:pt>
                <c:pt idx="94">
                  <c:v>1.0000000000000001E-9</c:v>
                </c:pt>
                <c:pt idx="95">
                  <c:v>1.0000000000000001E-9</c:v>
                </c:pt>
                <c:pt idx="96">
                  <c:v>1.0000000000000001E-9</c:v>
                </c:pt>
                <c:pt idx="97">
                  <c:v>1.0000000000000001E-9</c:v>
                </c:pt>
                <c:pt idx="98">
                  <c:v>1.0000000000000001E-9</c:v>
                </c:pt>
                <c:pt idx="99">
                  <c:v>1.0000000000000001E-9</c:v>
                </c:pt>
                <c:pt idx="100">
                  <c:v>1.0000000000000001E-9</c:v>
                </c:pt>
                <c:pt idx="101">
                  <c:v>1.0000000000000001E-9</c:v>
                </c:pt>
                <c:pt idx="102">
                  <c:v>1.0000000000000001E-9</c:v>
                </c:pt>
                <c:pt idx="103">
                  <c:v>1.0000000000000001E-9</c:v>
                </c:pt>
                <c:pt idx="104">
                  <c:v>1.0000000000000001E-9</c:v>
                </c:pt>
                <c:pt idx="105">
                  <c:v>1.0000000000000001E-9</c:v>
                </c:pt>
                <c:pt idx="106">
                  <c:v>1.0000000000000001E-9</c:v>
                </c:pt>
                <c:pt idx="107">
                  <c:v>1.0000000000000001E-9</c:v>
                </c:pt>
                <c:pt idx="108">
                  <c:v>1.0000000000000001E-9</c:v>
                </c:pt>
                <c:pt idx="109">
                  <c:v>1.0000000000000001E-9</c:v>
                </c:pt>
                <c:pt idx="110">
                  <c:v>1.0000000000000001E-9</c:v>
                </c:pt>
                <c:pt idx="111">
                  <c:v>1.0000000000000001E-9</c:v>
                </c:pt>
                <c:pt idx="112">
                  <c:v>1.0000000000000001E-9</c:v>
                </c:pt>
                <c:pt idx="113">
                  <c:v>1.0000000000000001E-9</c:v>
                </c:pt>
                <c:pt idx="114">
                  <c:v>1.0000000000000001E-9</c:v>
                </c:pt>
                <c:pt idx="115">
                  <c:v>1.0000000000000001E-9</c:v>
                </c:pt>
                <c:pt idx="116">
                  <c:v>1.0000000000000001E-9</c:v>
                </c:pt>
                <c:pt idx="117">
                  <c:v>1.0000000000000001E-9</c:v>
                </c:pt>
                <c:pt idx="118">
                  <c:v>1.0000000000000001E-9</c:v>
                </c:pt>
                <c:pt idx="119">
                  <c:v>1.0000000000000001E-9</c:v>
                </c:pt>
                <c:pt idx="120">
                  <c:v>1.0000000000000001E-9</c:v>
                </c:pt>
                <c:pt idx="121">
                  <c:v>1.0000000000000001E-9</c:v>
                </c:pt>
                <c:pt idx="122">
                  <c:v>1.0000000000000001E-9</c:v>
                </c:pt>
                <c:pt idx="123">
                  <c:v>1.0000000000000001E-9</c:v>
                </c:pt>
                <c:pt idx="124">
                  <c:v>1.0000000000000001E-9</c:v>
                </c:pt>
                <c:pt idx="125">
                  <c:v>1.0000000000000001E-9</c:v>
                </c:pt>
                <c:pt idx="126">
                  <c:v>1.0000000000000001E-9</c:v>
                </c:pt>
                <c:pt idx="127">
                  <c:v>1.0000000000000001E-9</c:v>
                </c:pt>
                <c:pt idx="128">
                  <c:v>1.0000000000000001E-9</c:v>
                </c:pt>
                <c:pt idx="129">
                  <c:v>1.0000000000000001E-9</c:v>
                </c:pt>
                <c:pt idx="130">
                  <c:v>1.0000000000000001E-9</c:v>
                </c:pt>
                <c:pt idx="131">
                  <c:v>1.0000000000000001E-9</c:v>
                </c:pt>
                <c:pt idx="132">
                  <c:v>1.0000000000000001E-9</c:v>
                </c:pt>
                <c:pt idx="133">
                  <c:v>1.0000000000000001E-9</c:v>
                </c:pt>
                <c:pt idx="134">
                  <c:v>1.0000000000000001E-9</c:v>
                </c:pt>
                <c:pt idx="135">
                  <c:v>1.0000000000000001E-9</c:v>
                </c:pt>
                <c:pt idx="136">
                  <c:v>1.0000000000000001E-9</c:v>
                </c:pt>
                <c:pt idx="137">
                  <c:v>1.0000000000000001E-9</c:v>
                </c:pt>
                <c:pt idx="138">
                  <c:v>1.0000000000000001E-9</c:v>
                </c:pt>
                <c:pt idx="139">
                  <c:v>1.0000000000000001E-9</c:v>
                </c:pt>
                <c:pt idx="140">
                  <c:v>1.0000000000000001E-9</c:v>
                </c:pt>
                <c:pt idx="141">
                  <c:v>1.0000000000000001E-9</c:v>
                </c:pt>
                <c:pt idx="142">
                  <c:v>1.0000000000000001E-9</c:v>
                </c:pt>
                <c:pt idx="143">
                  <c:v>1.0000000000000001E-9</c:v>
                </c:pt>
                <c:pt idx="144">
                  <c:v>1.0000000000000001E-9</c:v>
                </c:pt>
                <c:pt idx="145">
                  <c:v>1.0000000000000001E-9</c:v>
                </c:pt>
                <c:pt idx="146">
                  <c:v>1.0000000000000001E-9</c:v>
                </c:pt>
                <c:pt idx="147">
                  <c:v>1.0000000000000001E-9</c:v>
                </c:pt>
                <c:pt idx="148">
                  <c:v>1.0000000000000001E-9</c:v>
                </c:pt>
                <c:pt idx="149">
                  <c:v>1.0000000000000001E-9</c:v>
                </c:pt>
                <c:pt idx="150">
                  <c:v>1.0000000000000001E-9</c:v>
                </c:pt>
                <c:pt idx="151">
                  <c:v>1.0000000000000001E-9</c:v>
                </c:pt>
                <c:pt idx="152">
                  <c:v>1.0000000000000001E-9</c:v>
                </c:pt>
                <c:pt idx="153">
                  <c:v>1.0000000000000001E-9</c:v>
                </c:pt>
              </c:numCache>
            </c:numRef>
          </c:yVal>
          <c:smooth val="1"/>
          <c:extLst>
            <c:ext xmlns:c16="http://schemas.microsoft.com/office/drawing/2014/chart" uri="{C3380CC4-5D6E-409C-BE32-E72D297353CC}">
              <c16:uniqueId val="{00000006-874D-44D2-AB88-2F6DE3EF0711}"/>
            </c:ext>
          </c:extLst>
        </c:ser>
        <c:ser>
          <c:idx val="7"/>
          <c:order val="3"/>
          <c:tx>
            <c:strRef>
              <c:f>'CIN Network Design'!$AR$28</c:f>
              <c:strCache>
                <c:ptCount val="1"/>
                <c:pt idx="0">
                  <c:v>Z3(TOTAL)</c:v>
                </c:pt>
              </c:strCache>
            </c:strRef>
          </c:tx>
          <c:spPr>
            <a:ln w="25400" cap="rnd">
              <a:solidFill>
                <a:srgbClr val="FF0000"/>
              </a:solidFill>
              <a:round/>
            </a:ln>
            <a:effectLst/>
          </c:spPr>
          <c:marker>
            <c:symbol val="none"/>
          </c:marker>
          <c:xVal>
            <c:numRef>
              <c:f>'CIN Network Design'!$X$29:$X$182</c:f>
              <c:numCache>
                <c:formatCode>#,##0</c:formatCode>
                <c:ptCount val="154"/>
                <c:pt idx="0">
                  <c:v>1</c:v>
                </c:pt>
                <c:pt idx="1">
                  <c:v>2</c:v>
                </c:pt>
                <c:pt idx="2">
                  <c:v>3</c:v>
                </c:pt>
                <c:pt idx="3">
                  <c:v>4</c:v>
                </c:pt>
                <c:pt idx="4">
                  <c:v>5</c:v>
                </c:pt>
                <c:pt idx="5">
                  <c:v>6</c:v>
                </c:pt>
                <c:pt idx="6">
                  <c:v>7</c:v>
                </c:pt>
                <c:pt idx="7">
                  <c:v>8</c:v>
                </c:pt>
                <c:pt idx="8">
                  <c:v>9</c:v>
                </c:pt>
                <c:pt idx="9">
                  <c:v>10</c:v>
                </c:pt>
                <c:pt idx="10">
                  <c:v>15</c:v>
                </c:pt>
                <c:pt idx="11">
                  <c:v>20</c:v>
                </c:pt>
                <c:pt idx="12">
                  <c:v>25</c:v>
                </c:pt>
                <c:pt idx="13">
                  <c:v>30</c:v>
                </c:pt>
                <c:pt idx="14">
                  <c:v>35</c:v>
                </c:pt>
                <c:pt idx="15">
                  <c:v>40</c:v>
                </c:pt>
                <c:pt idx="16">
                  <c:v>45</c:v>
                </c:pt>
                <c:pt idx="17">
                  <c:v>50</c:v>
                </c:pt>
                <c:pt idx="18">
                  <c:v>55</c:v>
                </c:pt>
                <c:pt idx="19">
                  <c:v>60</c:v>
                </c:pt>
                <c:pt idx="20">
                  <c:v>65</c:v>
                </c:pt>
                <c:pt idx="21">
                  <c:v>70</c:v>
                </c:pt>
                <c:pt idx="22">
                  <c:v>75</c:v>
                </c:pt>
                <c:pt idx="23">
                  <c:v>80</c:v>
                </c:pt>
                <c:pt idx="24">
                  <c:v>85</c:v>
                </c:pt>
                <c:pt idx="25">
                  <c:v>90</c:v>
                </c:pt>
                <c:pt idx="26">
                  <c:v>95</c:v>
                </c:pt>
                <c:pt idx="27">
                  <c:v>100</c:v>
                </c:pt>
                <c:pt idx="28">
                  <c:v>150</c:v>
                </c:pt>
                <c:pt idx="29">
                  <c:v>200</c:v>
                </c:pt>
                <c:pt idx="30">
                  <c:v>250</c:v>
                </c:pt>
                <c:pt idx="31">
                  <c:v>300</c:v>
                </c:pt>
                <c:pt idx="32">
                  <c:v>350</c:v>
                </c:pt>
                <c:pt idx="33">
                  <c:v>400</c:v>
                </c:pt>
                <c:pt idx="34">
                  <c:v>450</c:v>
                </c:pt>
                <c:pt idx="35">
                  <c:v>500</c:v>
                </c:pt>
                <c:pt idx="36">
                  <c:v>550</c:v>
                </c:pt>
                <c:pt idx="37">
                  <c:v>600</c:v>
                </c:pt>
                <c:pt idx="38">
                  <c:v>650</c:v>
                </c:pt>
                <c:pt idx="39">
                  <c:v>700</c:v>
                </c:pt>
                <c:pt idx="40">
                  <c:v>750</c:v>
                </c:pt>
                <c:pt idx="41">
                  <c:v>800</c:v>
                </c:pt>
                <c:pt idx="42">
                  <c:v>850</c:v>
                </c:pt>
                <c:pt idx="43">
                  <c:v>900</c:v>
                </c:pt>
                <c:pt idx="44">
                  <c:v>950</c:v>
                </c:pt>
                <c:pt idx="45">
                  <c:v>1000</c:v>
                </c:pt>
                <c:pt idx="46">
                  <c:v>1500</c:v>
                </c:pt>
                <c:pt idx="47">
                  <c:v>2000</c:v>
                </c:pt>
                <c:pt idx="48">
                  <c:v>2500</c:v>
                </c:pt>
                <c:pt idx="49">
                  <c:v>3000</c:v>
                </c:pt>
                <c:pt idx="50">
                  <c:v>3500</c:v>
                </c:pt>
                <c:pt idx="51">
                  <c:v>4000</c:v>
                </c:pt>
                <c:pt idx="52">
                  <c:v>4500</c:v>
                </c:pt>
                <c:pt idx="53">
                  <c:v>5000</c:v>
                </c:pt>
                <c:pt idx="54">
                  <c:v>5500</c:v>
                </c:pt>
                <c:pt idx="55">
                  <c:v>6000</c:v>
                </c:pt>
                <c:pt idx="56">
                  <c:v>6500</c:v>
                </c:pt>
                <c:pt idx="57">
                  <c:v>7000</c:v>
                </c:pt>
                <c:pt idx="58">
                  <c:v>7500</c:v>
                </c:pt>
                <c:pt idx="59">
                  <c:v>8000</c:v>
                </c:pt>
                <c:pt idx="60">
                  <c:v>8500</c:v>
                </c:pt>
                <c:pt idx="61">
                  <c:v>9000</c:v>
                </c:pt>
                <c:pt idx="62">
                  <c:v>9500</c:v>
                </c:pt>
                <c:pt idx="63">
                  <c:v>10000</c:v>
                </c:pt>
                <c:pt idx="64">
                  <c:v>15000</c:v>
                </c:pt>
                <c:pt idx="65">
                  <c:v>20000</c:v>
                </c:pt>
                <c:pt idx="66">
                  <c:v>25000</c:v>
                </c:pt>
                <c:pt idx="67">
                  <c:v>30000</c:v>
                </c:pt>
                <c:pt idx="68">
                  <c:v>35000</c:v>
                </c:pt>
                <c:pt idx="69">
                  <c:v>40000</c:v>
                </c:pt>
                <c:pt idx="70">
                  <c:v>45000</c:v>
                </c:pt>
                <c:pt idx="71">
                  <c:v>50000</c:v>
                </c:pt>
                <c:pt idx="72">
                  <c:v>55000</c:v>
                </c:pt>
                <c:pt idx="73">
                  <c:v>60000</c:v>
                </c:pt>
                <c:pt idx="74">
                  <c:v>65000</c:v>
                </c:pt>
                <c:pt idx="75">
                  <c:v>70000</c:v>
                </c:pt>
                <c:pt idx="76">
                  <c:v>75000</c:v>
                </c:pt>
                <c:pt idx="77">
                  <c:v>80000</c:v>
                </c:pt>
                <c:pt idx="78">
                  <c:v>85000</c:v>
                </c:pt>
                <c:pt idx="79">
                  <c:v>90000</c:v>
                </c:pt>
                <c:pt idx="80">
                  <c:v>95000</c:v>
                </c:pt>
                <c:pt idx="81">
                  <c:v>100000</c:v>
                </c:pt>
                <c:pt idx="82">
                  <c:v>150000</c:v>
                </c:pt>
                <c:pt idx="83">
                  <c:v>200000</c:v>
                </c:pt>
                <c:pt idx="84">
                  <c:v>250000</c:v>
                </c:pt>
                <c:pt idx="85">
                  <c:v>300000</c:v>
                </c:pt>
                <c:pt idx="86">
                  <c:v>350000</c:v>
                </c:pt>
                <c:pt idx="87">
                  <c:v>400000</c:v>
                </c:pt>
                <c:pt idx="88">
                  <c:v>450000</c:v>
                </c:pt>
                <c:pt idx="89">
                  <c:v>500000</c:v>
                </c:pt>
                <c:pt idx="90">
                  <c:v>550000</c:v>
                </c:pt>
                <c:pt idx="91">
                  <c:v>600000</c:v>
                </c:pt>
                <c:pt idx="92">
                  <c:v>650000</c:v>
                </c:pt>
                <c:pt idx="93">
                  <c:v>700000</c:v>
                </c:pt>
                <c:pt idx="94">
                  <c:v>750000</c:v>
                </c:pt>
                <c:pt idx="95">
                  <c:v>800000</c:v>
                </c:pt>
                <c:pt idx="96">
                  <c:v>850000</c:v>
                </c:pt>
                <c:pt idx="97">
                  <c:v>900000</c:v>
                </c:pt>
                <c:pt idx="98">
                  <c:v>950000</c:v>
                </c:pt>
                <c:pt idx="99">
                  <c:v>1000000</c:v>
                </c:pt>
                <c:pt idx="100">
                  <c:v>1500000</c:v>
                </c:pt>
                <c:pt idx="101">
                  <c:v>2000000</c:v>
                </c:pt>
                <c:pt idx="102">
                  <c:v>2500000</c:v>
                </c:pt>
                <c:pt idx="103">
                  <c:v>3000000</c:v>
                </c:pt>
                <c:pt idx="104">
                  <c:v>3500000</c:v>
                </c:pt>
                <c:pt idx="105">
                  <c:v>4000000</c:v>
                </c:pt>
                <c:pt idx="106">
                  <c:v>4500000</c:v>
                </c:pt>
                <c:pt idx="107">
                  <c:v>5000000</c:v>
                </c:pt>
                <c:pt idx="108">
                  <c:v>5500000</c:v>
                </c:pt>
                <c:pt idx="109">
                  <c:v>6000000</c:v>
                </c:pt>
                <c:pt idx="110">
                  <c:v>6500000</c:v>
                </c:pt>
                <c:pt idx="111">
                  <c:v>7000000</c:v>
                </c:pt>
                <c:pt idx="112">
                  <c:v>7500000</c:v>
                </c:pt>
                <c:pt idx="113">
                  <c:v>8000000</c:v>
                </c:pt>
                <c:pt idx="114">
                  <c:v>8500000</c:v>
                </c:pt>
                <c:pt idx="115">
                  <c:v>9000000</c:v>
                </c:pt>
                <c:pt idx="116">
                  <c:v>9500000</c:v>
                </c:pt>
                <c:pt idx="117">
                  <c:v>10000000</c:v>
                </c:pt>
                <c:pt idx="118">
                  <c:v>15000000</c:v>
                </c:pt>
                <c:pt idx="119">
                  <c:v>20000000</c:v>
                </c:pt>
                <c:pt idx="120">
                  <c:v>25000000</c:v>
                </c:pt>
                <c:pt idx="121">
                  <c:v>30000000</c:v>
                </c:pt>
                <c:pt idx="122">
                  <c:v>35000000</c:v>
                </c:pt>
                <c:pt idx="123">
                  <c:v>40000000</c:v>
                </c:pt>
                <c:pt idx="124">
                  <c:v>45000000</c:v>
                </c:pt>
                <c:pt idx="125">
                  <c:v>50000000</c:v>
                </c:pt>
                <c:pt idx="126">
                  <c:v>55000000</c:v>
                </c:pt>
                <c:pt idx="127">
                  <c:v>60000000</c:v>
                </c:pt>
                <c:pt idx="128">
                  <c:v>65000000</c:v>
                </c:pt>
                <c:pt idx="129">
                  <c:v>70000000</c:v>
                </c:pt>
                <c:pt idx="130">
                  <c:v>75000000</c:v>
                </c:pt>
                <c:pt idx="131">
                  <c:v>80000000</c:v>
                </c:pt>
                <c:pt idx="132">
                  <c:v>85000000</c:v>
                </c:pt>
                <c:pt idx="133">
                  <c:v>90000000</c:v>
                </c:pt>
                <c:pt idx="134">
                  <c:v>95000000</c:v>
                </c:pt>
                <c:pt idx="135">
                  <c:v>100000000</c:v>
                </c:pt>
                <c:pt idx="136">
                  <c:v>150000000</c:v>
                </c:pt>
                <c:pt idx="137">
                  <c:v>200000000</c:v>
                </c:pt>
                <c:pt idx="138">
                  <c:v>250000000</c:v>
                </c:pt>
                <c:pt idx="139">
                  <c:v>300000000</c:v>
                </c:pt>
                <c:pt idx="140">
                  <c:v>350000000</c:v>
                </c:pt>
                <c:pt idx="141">
                  <c:v>400000000</c:v>
                </c:pt>
                <c:pt idx="142">
                  <c:v>450000000</c:v>
                </c:pt>
                <c:pt idx="143">
                  <c:v>500000000</c:v>
                </c:pt>
                <c:pt idx="144">
                  <c:v>550000000</c:v>
                </c:pt>
                <c:pt idx="145">
                  <c:v>600000000</c:v>
                </c:pt>
                <c:pt idx="146">
                  <c:v>650000000</c:v>
                </c:pt>
                <c:pt idx="147">
                  <c:v>700000000</c:v>
                </c:pt>
                <c:pt idx="148">
                  <c:v>750000000</c:v>
                </c:pt>
                <c:pt idx="149">
                  <c:v>800000000</c:v>
                </c:pt>
                <c:pt idx="150">
                  <c:v>850000000</c:v>
                </c:pt>
                <c:pt idx="151">
                  <c:v>900000000</c:v>
                </c:pt>
                <c:pt idx="152">
                  <c:v>950000000</c:v>
                </c:pt>
                <c:pt idx="153">
                  <c:v>1000000000</c:v>
                </c:pt>
              </c:numCache>
            </c:numRef>
          </c:xVal>
          <c:yVal>
            <c:numRef>
              <c:f>'CIN Network Design'!$AR$29:$AR$182</c:f>
              <c:numCache>
                <c:formatCode>0.000000</c:formatCode>
                <c:ptCount val="154"/>
                <c:pt idx="0">
                  <c:v>169313769.24669701</c:v>
                </c:pt>
                <c:pt idx="1">
                  <c:v>84656884.623348221</c:v>
                </c:pt>
                <c:pt idx="2">
                  <c:v>56437923.082231827</c:v>
                </c:pt>
                <c:pt idx="3">
                  <c:v>42328442.311673544</c:v>
                </c:pt>
                <c:pt idx="4">
                  <c:v>33862753.849338502</c:v>
                </c:pt>
                <c:pt idx="5">
                  <c:v>28218961.541115068</c:v>
                </c:pt>
                <c:pt idx="6">
                  <c:v>24187681.320955422</c:v>
                </c:pt>
                <c:pt idx="7">
                  <c:v>21164221.155835647</c:v>
                </c:pt>
                <c:pt idx="8">
                  <c:v>18812641.027409106</c:v>
                </c:pt>
                <c:pt idx="9">
                  <c:v>16931376.924667843</c:v>
                </c:pt>
                <c:pt idx="10">
                  <c:v>11287584.616443662</c:v>
                </c:pt>
                <c:pt idx="11">
                  <c:v>8465688.462331105</c:v>
                </c:pt>
                <c:pt idx="12">
                  <c:v>6772550.7698631929</c:v>
                </c:pt>
                <c:pt idx="13">
                  <c:v>5643792.3082176065</c:v>
                </c:pt>
                <c:pt idx="14">
                  <c:v>4837536.2641847776</c:v>
                </c:pt>
                <c:pt idx="15">
                  <c:v>4232844.2311599199</c:v>
                </c:pt>
                <c:pt idx="16">
                  <c:v>3762528.2054737108</c:v>
                </c:pt>
                <c:pt idx="17">
                  <c:v>3386275.3849245552</c:v>
                </c:pt>
                <c:pt idx="18">
                  <c:v>3078432.1681114403</c:v>
                </c:pt>
                <c:pt idx="19">
                  <c:v>2821896.1541003543</c:v>
                </c:pt>
                <c:pt idx="20">
                  <c:v>2604827.2191677527</c:v>
                </c:pt>
                <c:pt idx="21">
                  <c:v>2418768.1320825317</c:v>
                </c:pt>
                <c:pt idx="22">
                  <c:v>2257516.9232752142</c:v>
                </c:pt>
                <c:pt idx="23">
                  <c:v>2116422.1155686947</c:v>
                </c:pt>
                <c:pt idx="24">
                  <c:v>1991926.6970040079</c:v>
                </c:pt>
                <c:pt idx="25">
                  <c:v>1881264.102724182</c:v>
                </c:pt>
                <c:pt idx="26">
                  <c:v>1782250.2025789751</c:v>
                </c:pt>
                <c:pt idx="27">
                  <c:v>1693137.692448196</c:v>
                </c:pt>
                <c:pt idx="28">
                  <c:v>1128758.4616164844</c:v>
                </c:pt>
                <c:pt idx="29">
                  <c:v>846568.84619593434</c:v>
                </c:pt>
                <c:pt idx="30">
                  <c:v>677255.07693984942</c:v>
                </c:pt>
                <c:pt idx="31">
                  <c:v>564379.23076599673</c:v>
                </c:pt>
                <c:pt idx="32">
                  <c:v>483753.62635341968</c:v>
                </c:pt>
                <c:pt idx="33">
                  <c:v>423284.42304163997</c:v>
                </c:pt>
                <c:pt idx="34">
                  <c:v>376252.82046372519</c:v>
                </c:pt>
                <c:pt idx="35">
                  <c:v>338627.53839951573</c:v>
                </c:pt>
                <c:pt idx="36">
                  <c:v>307843.21670891013</c:v>
                </c:pt>
                <c:pt idx="37">
                  <c:v>282189.61529850762</c:v>
                </c:pt>
                <c:pt idx="38">
                  <c:v>260482.72179595346</c:v>
                </c:pt>
                <c:pt idx="39">
                  <c:v>241876.81307813726</c:v>
                </c:pt>
                <c:pt idx="40">
                  <c:v>225751.6921881116</c:v>
                </c:pt>
                <c:pt idx="41">
                  <c:v>211642.21140816563</c:v>
                </c:pt>
                <c:pt idx="42">
                  <c:v>199192.66954240302</c:v>
                </c:pt>
                <c:pt idx="43">
                  <c:v>188126.41010512644</c:v>
                </c:pt>
                <c:pt idx="44">
                  <c:v>178225.02008131178</c:v>
                </c:pt>
                <c:pt idx="45">
                  <c:v>169313.76905893991</c:v>
                </c:pt>
                <c:pt idx="46">
                  <c:v>112875.84588282887</c:v>
                </c:pt>
                <c:pt idx="47">
                  <c:v>84656.884247834038</c:v>
                </c:pt>
                <c:pt idx="48">
                  <c:v>67725.507229285649</c:v>
                </c:pt>
                <c:pt idx="49">
                  <c:v>56437.922518960542</c:v>
                </c:pt>
                <c:pt idx="50">
                  <c:v>48375.361984762982</c:v>
                </c:pt>
                <c:pt idx="51">
                  <c:v>42328.441560645158</c:v>
                </c:pt>
                <c:pt idx="52">
                  <c:v>37625.28120991381</c:v>
                </c:pt>
                <c:pt idx="53">
                  <c:v>33862.752910553005</c:v>
                </c:pt>
                <c:pt idx="54">
                  <c:v>30784.320648552606</c:v>
                </c:pt>
                <c:pt idx="55">
                  <c:v>28218.960414572488</c:v>
                </c:pt>
                <c:pt idx="56">
                  <c:v>26048.270971377213</c:v>
                </c:pt>
                <c:pt idx="57">
                  <c:v>24187.680006655748</c:v>
                </c:pt>
                <c:pt idx="58">
                  <c:v>22575.16782471332</c:v>
                </c:pt>
                <c:pt idx="59">
                  <c:v>21164.219653778873</c:v>
                </c:pt>
                <c:pt idx="60">
                  <c:v>19919.265374262748</c:v>
                </c:pt>
                <c:pt idx="61">
                  <c:v>18812.639337595236</c:v>
                </c:pt>
                <c:pt idx="62">
                  <c:v>17822.50024227392</c:v>
                </c:pt>
                <c:pt idx="63">
                  <c:v>16931.375047096866</c:v>
                </c:pt>
                <c:pt idx="64">
                  <c:v>11287.581800087206</c:v>
                </c:pt>
                <c:pt idx="65">
                  <c:v>8465.6847071891661</c:v>
                </c:pt>
                <c:pt idx="66">
                  <c:v>6772.5460759357757</c:v>
                </c:pt>
                <c:pt idx="67">
                  <c:v>5643.7866755047135</c:v>
                </c:pt>
                <c:pt idx="68">
                  <c:v>4837.5296926864103</c:v>
                </c:pt>
                <c:pt idx="69">
                  <c:v>4232.8367208760837</c:v>
                </c:pt>
                <c:pt idx="70">
                  <c:v>3762.5197564044111</c:v>
                </c:pt>
                <c:pt idx="71">
                  <c:v>3386.2659970697987</c:v>
                </c:pt>
                <c:pt idx="72">
                  <c:v>3078.4218414712318</c:v>
                </c:pt>
                <c:pt idx="73">
                  <c:v>2821.8848886747001</c:v>
                </c:pt>
                <c:pt idx="74">
                  <c:v>2604.8150149566609</c:v>
                </c:pt>
                <c:pt idx="75">
                  <c:v>2418.7549890860096</c:v>
                </c:pt>
                <c:pt idx="76">
                  <c:v>2257.5028414932708</c:v>
                </c:pt>
                <c:pt idx="77">
                  <c:v>2116.4070950013388</c:v>
                </c:pt>
                <c:pt idx="78">
                  <c:v>1991.9107376512504</c:v>
                </c:pt>
                <c:pt idx="79">
                  <c:v>1881.2472045860325</c:v>
                </c:pt>
                <c:pt idx="80">
                  <c:v>1782.2323656554463</c:v>
                </c:pt>
                <c:pt idx="81">
                  <c:v>1693.1189167392977</c:v>
                </c:pt>
                <c:pt idx="82">
                  <c:v>1128.7302980546749</c:v>
                </c:pt>
                <c:pt idx="83">
                  <c:v>846.53129478306028</c:v>
                </c:pt>
                <c:pt idx="84">
                  <c:v>677.20813767837137</c:v>
                </c:pt>
                <c:pt idx="85">
                  <c:v>564.32290365899178</c:v>
                </c:pt>
                <c:pt idx="86">
                  <c:v>483.68791140458057</c:v>
                </c:pt>
                <c:pt idx="87">
                  <c:v>423.20932025527503</c:v>
                </c:pt>
                <c:pt idx="88">
                  <c:v>376.16832984475923</c:v>
                </c:pt>
                <c:pt idx="89">
                  <c:v>338.53365995348997</c:v>
                </c:pt>
                <c:pt idx="90">
                  <c:v>307.73995044198267</c:v>
                </c:pt>
                <c:pt idx="91">
                  <c:v>282.07696121745346</c:v>
                </c:pt>
                <c:pt idx="92">
                  <c:v>260.36067990816531</c:v>
                </c:pt>
                <c:pt idx="93">
                  <c:v>241.74538339162567</c:v>
                </c:pt>
                <c:pt idx="94">
                  <c:v>225.61087471150535</c:v>
                </c:pt>
                <c:pt idx="95">
                  <c:v>211.49200615071237</c:v>
                </c:pt>
                <c:pt idx="96">
                  <c:v>199.0330765139698</c:v>
                </c:pt>
                <c:pt idx="97">
                  <c:v>187.95742931620018</c:v>
                </c:pt>
                <c:pt idx="98">
                  <c:v>178.04665154299994</c:v>
                </c:pt>
                <c:pt idx="99">
                  <c:v>169.12601278297083</c:v>
                </c:pt>
                <c:pt idx="100">
                  <c:v>112.5942130125058</c:v>
                </c:pt>
                <c:pt idx="101">
                  <c:v>84.281376645141989</c:v>
                </c:pt>
                <c:pt idx="102">
                  <c:v>67.256127393039748</c:v>
                </c:pt>
                <c:pt idx="103">
                  <c:v>55.874673598908238</c:v>
                </c:pt>
                <c:pt idx="104">
                  <c:v>47.71824779952302</c:v>
                </c:pt>
                <c:pt idx="105">
                  <c:v>41.577466619699166</c:v>
                </c:pt>
                <c:pt idx="106">
                  <c:v>36.780450739919935</c:v>
                </c:pt>
                <c:pt idx="107">
                  <c:v>32.924072886309311</c:v>
                </c:pt>
                <c:pt idx="108">
                  <c:v>29.751797829003955</c:v>
                </c:pt>
                <c:pt idx="109">
                  <c:v>27.09260238432871</c:v>
                </c:pt>
                <c:pt idx="110">
                  <c:v>24.828086188295739</c:v>
                </c:pt>
                <c:pt idx="111">
                  <c:v>22.873677856139995</c:v>
                </c:pt>
                <c:pt idx="112">
                  <c:v>21.167358681492004</c:v>
                </c:pt>
                <c:pt idx="113">
                  <c:v>19.662614952064569</c:v>
                </c:pt>
                <c:pt idx="114">
                  <c:v>18.323877687344687</c:v>
                </c:pt>
                <c:pt idx="115">
                  <c:v>17.123482468106044</c:v>
                </c:pt>
                <c:pt idx="116">
                  <c:v>16.039589324590242</c:v>
                </c:pt>
                <c:pt idx="117">
                  <c:v>15.054726663595979</c:v>
                </c:pt>
                <c:pt idx="118">
                  <c:v>8.4749134983360772</c:v>
                </c:pt>
                <c:pt idx="119">
                  <c:v>4.7223219124532001</c:v>
                </c:pt>
                <c:pt idx="120">
                  <c:v>2.1199685372303558</c:v>
                </c:pt>
                <c:pt idx="121">
                  <c:v>0.50012262880893821</c:v>
                </c:pt>
                <c:pt idx="122">
                  <c:v>1.8294603800377573</c:v>
                </c:pt>
                <c:pt idx="123">
                  <c:v>3.3445634097082904</c:v>
                </c:pt>
                <c:pt idx="124">
                  <c:v>4.7461823971427464</c:v>
                </c:pt>
                <c:pt idx="125">
                  <c:v>6.0591677116887235</c:v>
                </c:pt>
                <c:pt idx="126">
                  <c:v>7.3059530047453389</c:v>
                </c:pt>
                <c:pt idx="127">
                  <c:v>8.5025515998825583</c:v>
                </c:pt>
                <c:pt idx="128">
                  <c:v>9.6603323208007374</c:v>
                </c:pt>
                <c:pt idx="129">
                  <c:v>10.787514712760084</c:v>
                </c:pt>
                <c:pt idx="130">
                  <c:v>11.890167557564297</c:v>
                </c:pt>
                <c:pt idx="131">
                  <c:v>12.972861701968002</c:v>
                </c:pt>
                <c:pt idx="132">
                  <c:v>14.039102364631171</c:v>
                </c:pt>
                <c:pt idx="133">
                  <c:v>15.091621242463823</c:v>
                </c:pt>
                <c:pt idx="134">
                  <c:v>16.132578081075792</c:v>
                </c:pt>
                <c:pt idx="135">
                  <c:v>17.163702585713448</c:v>
                </c:pt>
                <c:pt idx="136">
                  <c:v>27.150179832165566</c:v>
                </c:pt>
                <c:pt idx="137">
                  <c:v>36.85593473694891</c:v>
                </c:pt>
                <c:pt idx="138">
                  <c:v>46.44932590953681</c:v>
                </c:pt>
                <c:pt idx="139">
                  <c:v>55.986521258559122</c:v>
                </c:pt>
                <c:pt idx="140">
                  <c:v>65.491600768475934</c:v>
                </c:pt>
                <c:pt idx="141">
                  <c:v>74.976606468259675</c:v>
                </c:pt>
                <c:pt idx="142">
                  <c:v>84.448229036167888</c:v>
                </c:pt>
                <c:pt idx="143">
                  <c:v>93.910483133440465</c:v>
                </c:pt>
                <c:pt idx="144">
                  <c:v>103.36592365474419</c:v>
                </c:pt>
                <c:pt idx="145">
                  <c:v>112.81625391563404</c:v>
                </c:pt>
                <c:pt idx="146">
                  <c:v>122.26265316142656</c:v>
                </c:pt>
                <c:pt idx="147">
                  <c:v>131.70596372480767</c:v>
                </c:pt>
                <c:pt idx="148">
                  <c:v>141.14680332476001</c:v>
                </c:pt>
                <c:pt idx="149">
                  <c:v>150.58563525549687</c:v>
                </c:pt>
                <c:pt idx="150">
                  <c:v>160.02281380390434</c:v>
                </c:pt>
                <c:pt idx="151">
                  <c:v>169.45861452841154</c:v>
                </c:pt>
                <c:pt idx="152">
                  <c:v>178.89325497643318</c:v>
                </c:pt>
                <c:pt idx="153">
                  <c:v>188.32690918676522</c:v>
                </c:pt>
              </c:numCache>
            </c:numRef>
          </c:yVal>
          <c:smooth val="1"/>
          <c:extLst>
            <c:ext xmlns:c16="http://schemas.microsoft.com/office/drawing/2014/chart" uri="{C3380CC4-5D6E-409C-BE32-E72D297353CC}">
              <c16:uniqueId val="{00000007-874D-44D2-AB88-2F6DE3EF0711}"/>
            </c:ext>
          </c:extLst>
        </c:ser>
        <c:ser>
          <c:idx val="1"/>
          <c:order val="4"/>
          <c:tx>
            <c:strRef>
              <c:f>'CIN Network Design'!$Z$28</c:f>
              <c:strCache>
                <c:ptCount val="1"/>
                <c:pt idx="0">
                  <c:v>ZTARGET(CIN, RIPPLE)</c:v>
                </c:pt>
              </c:strCache>
            </c:strRef>
          </c:tx>
          <c:spPr>
            <a:ln w="25400" cap="rnd">
              <a:solidFill>
                <a:srgbClr val="00B0F0"/>
              </a:solidFill>
              <a:prstDash val="sysDash"/>
              <a:round/>
            </a:ln>
            <a:effectLst/>
          </c:spPr>
          <c:marker>
            <c:symbol val="none"/>
          </c:marker>
          <c:xVal>
            <c:numRef>
              <c:f>'CIN Network Design'!$X$29:$X$182</c:f>
              <c:numCache>
                <c:formatCode>#,##0</c:formatCode>
                <c:ptCount val="154"/>
                <c:pt idx="0">
                  <c:v>1</c:v>
                </c:pt>
                <c:pt idx="1">
                  <c:v>2</c:v>
                </c:pt>
                <c:pt idx="2">
                  <c:v>3</c:v>
                </c:pt>
                <c:pt idx="3">
                  <c:v>4</c:v>
                </c:pt>
                <c:pt idx="4">
                  <c:v>5</c:v>
                </c:pt>
                <c:pt idx="5">
                  <c:v>6</c:v>
                </c:pt>
                <c:pt idx="6">
                  <c:v>7</c:v>
                </c:pt>
                <c:pt idx="7">
                  <c:v>8</c:v>
                </c:pt>
                <c:pt idx="8">
                  <c:v>9</c:v>
                </c:pt>
                <c:pt idx="9">
                  <c:v>10</c:v>
                </c:pt>
                <c:pt idx="10">
                  <c:v>15</c:v>
                </c:pt>
                <c:pt idx="11">
                  <c:v>20</c:v>
                </c:pt>
                <c:pt idx="12">
                  <c:v>25</c:v>
                </c:pt>
                <c:pt idx="13">
                  <c:v>30</c:v>
                </c:pt>
                <c:pt idx="14">
                  <c:v>35</c:v>
                </c:pt>
                <c:pt idx="15">
                  <c:v>40</c:v>
                </c:pt>
                <c:pt idx="16">
                  <c:v>45</c:v>
                </c:pt>
                <c:pt idx="17">
                  <c:v>50</c:v>
                </c:pt>
                <c:pt idx="18">
                  <c:v>55</c:v>
                </c:pt>
                <c:pt idx="19">
                  <c:v>60</c:v>
                </c:pt>
                <c:pt idx="20">
                  <c:v>65</c:v>
                </c:pt>
                <c:pt idx="21">
                  <c:v>70</c:v>
                </c:pt>
                <c:pt idx="22">
                  <c:v>75</c:v>
                </c:pt>
                <c:pt idx="23">
                  <c:v>80</c:v>
                </c:pt>
                <c:pt idx="24">
                  <c:v>85</c:v>
                </c:pt>
                <c:pt idx="25">
                  <c:v>90</c:v>
                </c:pt>
                <c:pt idx="26">
                  <c:v>95</c:v>
                </c:pt>
                <c:pt idx="27">
                  <c:v>100</c:v>
                </c:pt>
                <c:pt idx="28">
                  <c:v>150</c:v>
                </c:pt>
                <c:pt idx="29">
                  <c:v>200</c:v>
                </c:pt>
                <c:pt idx="30">
                  <c:v>250</c:v>
                </c:pt>
                <c:pt idx="31">
                  <c:v>300</c:v>
                </c:pt>
                <c:pt idx="32">
                  <c:v>350</c:v>
                </c:pt>
                <c:pt idx="33">
                  <c:v>400</c:v>
                </c:pt>
                <c:pt idx="34">
                  <c:v>450</c:v>
                </c:pt>
                <c:pt idx="35">
                  <c:v>500</c:v>
                </c:pt>
                <c:pt idx="36">
                  <c:v>550</c:v>
                </c:pt>
                <c:pt idx="37">
                  <c:v>600</c:v>
                </c:pt>
                <c:pt idx="38">
                  <c:v>650</c:v>
                </c:pt>
                <c:pt idx="39">
                  <c:v>700</c:v>
                </c:pt>
                <c:pt idx="40">
                  <c:v>750</c:v>
                </c:pt>
                <c:pt idx="41">
                  <c:v>800</c:v>
                </c:pt>
                <c:pt idx="42">
                  <c:v>850</c:v>
                </c:pt>
                <c:pt idx="43">
                  <c:v>900</c:v>
                </c:pt>
                <c:pt idx="44">
                  <c:v>950</c:v>
                </c:pt>
                <c:pt idx="45">
                  <c:v>1000</c:v>
                </c:pt>
                <c:pt idx="46">
                  <c:v>1500</c:v>
                </c:pt>
                <c:pt idx="47">
                  <c:v>2000</c:v>
                </c:pt>
                <c:pt idx="48">
                  <c:v>2500</c:v>
                </c:pt>
                <c:pt idx="49">
                  <c:v>3000</c:v>
                </c:pt>
                <c:pt idx="50">
                  <c:v>3500</c:v>
                </c:pt>
                <c:pt idx="51">
                  <c:v>4000</c:v>
                </c:pt>
                <c:pt idx="52">
                  <c:v>4500</c:v>
                </c:pt>
                <c:pt idx="53">
                  <c:v>5000</c:v>
                </c:pt>
                <c:pt idx="54">
                  <c:v>5500</c:v>
                </c:pt>
                <c:pt idx="55">
                  <c:v>6000</c:v>
                </c:pt>
                <c:pt idx="56">
                  <c:v>6500</c:v>
                </c:pt>
                <c:pt idx="57">
                  <c:v>7000</c:v>
                </c:pt>
                <c:pt idx="58">
                  <c:v>7500</c:v>
                </c:pt>
                <c:pt idx="59">
                  <c:v>8000</c:v>
                </c:pt>
                <c:pt idx="60">
                  <c:v>8500</c:v>
                </c:pt>
                <c:pt idx="61">
                  <c:v>9000</c:v>
                </c:pt>
                <c:pt idx="62">
                  <c:v>9500</c:v>
                </c:pt>
                <c:pt idx="63">
                  <c:v>10000</c:v>
                </c:pt>
                <c:pt idx="64">
                  <c:v>15000</c:v>
                </c:pt>
                <c:pt idx="65">
                  <c:v>20000</c:v>
                </c:pt>
                <c:pt idx="66">
                  <c:v>25000</c:v>
                </c:pt>
                <c:pt idx="67">
                  <c:v>30000</c:v>
                </c:pt>
                <c:pt idx="68">
                  <c:v>35000</c:v>
                </c:pt>
                <c:pt idx="69">
                  <c:v>40000</c:v>
                </c:pt>
                <c:pt idx="70">
                  <c:v>45000</c:v>
                </c:pt>
                <c:pt idx="71">
                  <c:v>50000</c:v>
                </c:pt>
                <c:pt idx="72">
                  <c:v>55000</c:v>
                </c:pt>
                <c:pt idx="73">
                  <c:v>60000</c:v>
                </c:pt>
                <c:pt idx="74">
                  <c:v>65000</c:v>
                </c:pt>
                <c:pt idx="75">
                  <c:v>70000</c:v>
                </c:pt>
                <c:pt idx="76">
                  <c:v>75000</c:v>
                </c:pt>
                <c:pt idx="77">
                  <c:v>80000</c:v>
                </c:pt>
                <c:pt idx="78">
                  <c:v>85000</c:v>
                </c:pt>
                <c:pt idx="79">
                  <c:v>90000</c:v>
                </c:pt>
                <c:pt idx="80">
                  <c:v>95000</c:v>
                </c:pt>
                <c:pt idx="81">
                  <c:v>100000</c:v>
                </c:pt>
                <c:pt idx="82">
                  <c:v>150000</c:v>
                </c:pt>
                <c:pt idx="83">
                  <c:v>200000</c:v>
                </c:pt>
                <c:pt idx="84">
                  <c:v>250000</c:v>
                </c:pt>
                <c:pt idx="85">
                  <c:v>300000</c:v>
                </c:pt>
                <c:pt idx="86">
                  <c:v>350000</c:v>
                </c:pt>
                <c:pt idx="87">
                  <c:v>400000</c:v>
                </c:pt>
                <c:pt idx="88">
                  <c:v>450000</c:v>
                </c:pt>
                <c:pt idx="89">
                  <c:v>500000</c:v>
                </c:pt>
                <c:pt idx="90">
                  <c:v>550000</c:v>
                </c:pt>
                <c:pt idx="91">
                  <c:v>600000</c:v>
                </c:pt>
                <c:pt idx="92">
                  <c:v>650000</c:v>
                </c:pt>
                <c:pt idx="93">
                  <c:v>700000</c:v>
                </c:pt>
                <c:pt idx="94">
                  <c:v>750000</c:v>
                </c:pt>
                <c:pt idx="95">
                  <c:v>800000</c:v>
                </c:pt>
                <c:pt idx="96">
                  <c:v>850000</c:v>
                </c:pt>
                <c:pt idx="97">
                  <c:v>900000</c:v>
                </c:pt>
                <c:pt idx="98">
                  <c:v>950000</c:v>
                </c:pt>
                <c:pt idx="99">
                  <c:v>1000000</c:v>
                </c:pt>
                <c:pt idx="100">
                  <c:v>1500000</c:v>
                </c:pt>
                <c:pt idx="101">
                  <c:v>2000000</c:v>
                </c:pt>
                <c:pt idx="102">
                  <c:v>2500000</c:v>
                </c:pt>
                <c:pt idx="103">
                  <c:v>3000000</c:v>
                </c:pt>
                <c:pt idx="104">
                  <c:v>3500000</c:v>
                </c:pt>
                <c:pt idx="105">
                  <c:v>4000000</c:v>
                </c:pt>
                <c:pt idx="106">
                  <c:v>4500000</c:v>
                </c:pt>
                <c:pt idx="107">
                  <c:v>5000000</c:v>
                </c:pt>
                <c:pt idx="108">
                  <c:v>5500000</c:v>
                </c:pt>
                <c:pt idx="109">
                  <c:v>6000000</c:v>
                </c:pt>
                <c:pt idx="110">
                  <c:v>6500000</c:v>
                </c:pt>
                <c:pt idx="111">
                  <c:v>7000000</c:v>
                </c:pt>
                <c:pt idx="112">
                  <c:v>7500000</c:v>
                </c:pt>
                <c:pt idx="113">
                  <c:v>8000000</c:v>
                </c:pt>
                <c:pt idx="114">
                  <c:v>8500000</c:v>
                </c:pt>
                <c:pt idx="115">
                  <c:v>9000000</c:v>
                </c:pt>
                <c:pt idx="116">
                  <c:v>9500000</c:v>
                </c:pt>
                <c:pt idx="117">
                  <c:v>10000000</c:v>
                </c:pt>
                <c:pt idx="118">
                  <c:v>15000000</c:v>
                </c:pt>
                <c:pt idx="119">
                  <c:v>20000000</c:v>
                </c:pt>
                <c:pt idx="120">
                  <c:v>25000000</c:v>
                </c:pt>
                <c:pt idx="121">
                  <c:v>30000000</c:v>
                </c:pt>
                <c:pt idx="122">
                  <c:v>35000000</c:v>
                </c:pt>
                <c:pt idx="123">
                  <c:v>40000000</c:v>
                </c:pt>
                <c:pt idx="124">
                  <c:v>45000000</c:v>
                </c:pt>
                <c:pt idx="125">
                  <c:v>50000000</c:v>
                </c:pt>
                <c:pt idx="126">
                  <c:v>55000000</c:v>
                </c:pt>
                <c:pt idx="127">
                  <c:v>60000000</c:v>
                </c:pt>
                <c:pt idx="128">
                  <c:v>65000000</c:v>
                </c:pt>
                <c:pt idx="129">
                  <c:v>70000000</c:v>
                </c:pt>
                <c:pt idx="130">
                  <c:v>75000000</c:v>
                </c:pt>
                <c:pt idx="131">
                  <c:v>80000000</c:v>
                </c:pt>
                <c:pt idx="132">
                  <c:v>85000000</c:v>
                </c:pt>
                <c:pt idx="133">
                  <c:v>90000000</c:v>
                </c:pt>
                <c:pt idx="134">
                  <c:v>95000000</c:v>
                </c:pt>
                <c:pt idx="135">
                  <c:v>100000000</c:v>
                </c:pt>
                <c:pt idx="136">
                  <c:v>150000000</c:v>
                </c:pt>
                <c:pt idx="137">
                  <c:v>200000000</c:v>
                </c:pt>
                <c:pt idx="138">
                  <c:v>250000000</c:v>
                </c:pt>
                <c:pt idx="139">
                  <c:v>300000000</c:v>
                </c:pt>
                <c:pt idx="140">
                  <c:v>350000000</c:v>
                </c:pt>
                <c:pt idx="141">
                  <c:v>400000000</c:v>
                </c:pt>
                <c:pt idx="142">
                  <c:v>450000000</c:v>
                </c:pt>
                <c:pt idx="143">
                  <c:v>500000000</c:v>
                </c:pt>
                <c:pt idx="144">
                  <c:v>550000000</c:v>
                </c:pt>
                <c:pt idx="145">
                  <c:v>600000000</c:v>
                </c:pt>
                <c:pt idx="146">
                  <c:v>650000000</c:v>
                </c:pt>
                <c:pt idx="147">
                  <c:v>700000000</c:v>
                </c:pt>
                <c:pt idx="148">
                  <c:v>750000000</c:v>
                </c:pt>
                <c:pt idx="149">
                  <c:v>800000000</c:v>
                </c:pt>
                <c:pt idx="150">
                  <c:v>850000000</c:v>
                </c:pt>
                <c:pt idx="151">
                  <c:v>900000000</c:v>
                </c:pt>
                <c:pt idx="152">
                  <c:v>950000000</c:v>
                </c:pt>
                <c:pt idx="153">
                  <c:v>1000000000</c:v>
                </c:pt>
              </c:numCache>
            </c:numRef>
          </c:xVal>
          <c:yVal>
            <c:numRef>
              <c:f>'CIN Network Design'!$Z$29:$Z$182</c:f>
              <c:numCache>
                <c:formatCode>0.00</c:formatCode>
                <c:ptCount val="154"/>
                <c:pt idx="0">
                  <c:v>9.5231759468817092</c:v>
                </c:pt>
                <c:pt idx="1">
                  <c:v>9.5231759468817092</c:v>
                </c:pt>
                <c:pt idx="2">
                  <c:v>9.5231759468817092</c:v>
                </c:pt>
                <c:pt idx="3">
                  <c:v>9.5231759468817092</c:v>
                </c:pt>
                <c:pt idx="4">
                  <c:v>9.5231759468817092</c:v>
                </c:pt>
                <c:pt idx="5">
                  <c:v>9.5231759468817092</c:v>
                </c:pt>
                <c:pt idx="6">
                  <c:v>9.5231759468817092</c:v>
                </c:pt>
                <c:pt idx="7">
                  <c:v>9.5231759468817092</c:v>
                </c:pt>
                <c:pt idx="8">
                  <c:v>9.5231759468817092</c:v>
                </c:pt>
                <c:pt idx="9">
                  <c:v>9.5231759468817092</c:v>
                </c:pt>
                <c:pt idx="10">
                  <c:v>9.5231759468817092</c:v>
                </c:pt>
                <c:pt idx="11">
                  <c:v>9.5231759468817092</c:v>
                </c:pt>
                <c:pt idx="12">
                  <c:v>9.5231759468817092</c:v>
                </c:pt>
                <c:pt idx="13">
                  <c:v>9.5231759468817092</c:v>
                </c:pt>
                <c:pt idx="14">
                  <c:v>9.5231759468817092</c:v>
                </c:pt>
                <c:pt idx="15">
                  <c:v>9.5231759468817092</c:v>
                </c:pt>
                <c:pt idx="16">
                  <c:v>9.5231759468817092</c:v>
                </c:pt>
                <c:pt idx="17">
                  <c:v>9.5231759468817092</c:v>
                </c:pt>
                <c:pt idx="18">
                  <c:v>9.5231759468817092</c:v>
                </c:pt>
                <c:pt idx="19">
                  <c:v>9.5231759468817092</c:v>
                </c:pt>
                <c:pt idx="20">
                  <c:v>9.5231759468817092</c:v>
                </c:pt>
                <c:pt idx="21">
                  <c:v>9.5231759468817092</c:v>
                </c:pt>
                <c:pt idx="22">
                  <c:v>9.5231759468817092</c:v>
                </c:pt>
                <c:pt idx="23">
                  <c:v>9.5231759468817092</c:v>
                </c:pt>
                <c:pt idx="24">
                  <c:v>9.5231759468817092</c:v>
                </c:pt>
                <c:pt idx="25">
                  <c:v>9.5231759468817092</c:v>
                </c:pt>
                <c:pt idx="26">
                  <c:v>9.5231759468817092</c:v>
                </c:pt>
                <c:pt idx="27">
                  <c:v>9.5231759468817092</c:v>
                </c:pt>
                <c:pt idx="28">
                  <c:v>9.5231759468817092</c:v>
                </c:pt>
                <c:pt idx="29">
                  <c:v>9.5231759468817092</c:v>
                </c:pt>
                <c:pt idx="30">
                  <c:v>9.5231759468817092</c:v>
                </c:pt>
                <c:pt idx="31">
                  <c:v>9.5231759468817092</c:v>
                </c:pt>
                <c:pt idx="32">
                  <c:v>9.5231759468817092</c:v>
                </c:pt>
                <c:pt idx="33">
                  <c:v>9.5231759468817092</c:v>
                </c:pt>
                <c:pt idx="34">
                  <c:v>9.5231759468817092</c:v>
                </c:pt>
                <c:pt idx="35">
                  <c:v>9.5231759468817092</c:v>
                </c:pt>
                <c:pt idx="36">
                  <c:v>9.5231759468817092</c:v>
                </c:pt>
                <c:pt idx="37">
                  <c:v>9.5231759468817092</c:v>
                </c:pt>
                <c:pt idx="38">
                  <c:v>9.5231759468817092</c:v>
                </c:pt>
                <c:pt idx="39">
                  <c:v>9.5231759468817092</c:v>
                </c:pt>
                <c:pt idx="40">
                  <c:v>9.5231759468817092</c:v>
                </c:pt>
                <c:pt idx="41">
                  <c:v>9.5231759468817092</c:v>
                </c:pt>
                <c:pt idx="42">
                  <c:v>9.5231759468817092</c:v>
                </c:pt>
                <c:pt idx="43">
                  <c:v>9.5231759468817092</c:v>
                </c:pt>
                <c:pt idx="44">
                  <c:v>9.5231759468817092</c:v>
                </c:pt>
                <c:pt idx="45">
                  <c:v>9.5231759468817092</c:v>
                </c:pt>
                <c:pt idx="46">
                  <c:v>9.5231759468817092</c:v>
                </c:pt>
                <c:pt idx="47">
                  <c:v>9.5231759468817092</c:v>
                </c:pt>
                <c:pt idx="48">
                  <c:v>9.5231759468817092</c:v>
                </c:pt>
                <c:pt idx="49">
                  <c:v>9.5231759468817092</c:v>
                </c:pt>
                <c:pt idx="50">
                  <c:v>9.5231759468817092</c:v>
                </c:pt>
                <c:pt idx="51">
                  <c:v>9.5231759468817092</c:v>
                </c:pt>
                <c:pt idx="52">
                  <c:v>9.5231759468817092</c:v>
                </c:pt>
                <c:pt idx="53">
                  <c:v>9.5231759468817092</c:v>
                </c:pt>
                <c:pt idx="54">
                  <c:v>9.5231759468817092</c:v>
                </c:pt>
                <c:pt idx="55">
                  <c:v>9.5231759468817092</c:v>
                </c:pt>
                <c:pt idx="56">
                  <c:v>9.5231759468817092</c:v>
                </c:pt>
                <c:pt idx="57">
                  <c:v>9.5231759468817092</c:v>
                </c:pt>
                <c:pt idx="58">
                  <c:v>9.5231759468817092</c:v>
                </c:pt>
                <c:pt idx="59">
                  <c:v>9.5231759468817092</c:v>
                </c:pt>
                <c:pt idx="60">
                  <c:v>9.5231759468817092</c:v>
                </c:pt>
                <c:pt idx="61">
                  <c:v>9.5231759468817092</c:v>
                </c:pt>
                <c:pt idx="62">
                  <c:v>9.5231759468817092</c:v>
                </c:pt>
                <c:pt idx="63">
                  <c:v>9.5231759468817092</c:v>
                </c:pt>
                <c:pt idx="64">
                  <c:v>9.5231759468817092</c:v>
                </c:pt>
                <c:pt idx="65">
                  <c:v>9.5231759468817092</c:v>
                </c:pt>
                <c:pt idx="66">
                  <c:v>9.5231759468817092</c:v>
                </c:pt>
                <c:pt idx="67">
                  <c:v>9.5231759468817092</c:v>
                </c:pt>
                <c:pt idx="68">
                  <c:v>9.5231759468817092</c:v>
                </c:pt>
                <c:pt idx="69">
                  <c:v>9.5231759468817092</c:v>
                </c:pt>
                <c:pt idx="70">
                  <c:v>9.5231759468817092</c:v>
                </c:pt>
                <c:pt idx="71">
                  <c:v>9.5231759468817092</c:v>
                </c:pt>
                <c:pt idx="72">
                  <c:v>9.5231759468817092</c:v>
                </c:pt>
                <c:pt idx="73">
                  <c:v>9.5231759468817092</c:v>
                </c:pt>
                <c:pt idx="74">
                  <c:v>9.5231759468817092</c:v>
                </c:pt>
                <c:pt idx="75">
                  <c:v>9.5231759468817092</c:v>
                </c:pt>
                <c:pt idx="76">
                  <c:v>9.5231759468817092</c:v>
                </c:pt>
                <c:pt idx="77">
                  <c:v>9.5231759468817092</c:v>
                </c:pt>
                <c:pt idx="78">
                  <c:v>9.5231759468817092</c:v>
                </c:pt>
                <c:pt idx="79">
                  <c:v>9.5231759468817092</c:v>
                </c:pt>
                <c:pt idx="80">
                  <c:v>9.5231759468817092</c:v>
                </c:pt>
                <c:pt idx="81">
                  <c:v>9.5231759468817092</c:v>
                </c:pt>
                <c:pt idx="82">
                  <c:v>9.5231759468817092</c:v>
                </c:pt>
                <c:pt idx="83">
                  <c:v>9.5231759468817092</c:v>
                </c:pt>
                <c:pt idx="84">
                  <c:v>9.5231759468817092</c:v>
                </c:pt>
                <c:pt idx="85">
                  <c:v>9.5231759468817092</c:v>
                </c:pt>
                <c:pt idx="86">
                  <c:v>9.5231759468817092</c:v>
                </c:pt>
                <c:pt idx="87">
                  <c:v>9.5231759468817092</c:v>
                </c:pt>
                <c:pt idx="88">
                  <c:v>9.5231759468817092</c:v>
                </c:pt>
                <c:pt idx="89">
                  <c:v>9.5231759468817092</c:v>
                </c:pt>
                <c:pt idx="90">
                  <c:v>9.5231759468817092</c:v>
                </c:pt>
                <c:pt idx="91">
                  <c:v>9.5231759468817092</c:v>
                </c:pt>
                <c:pt idx="92">
                  <c:v>9.5231759468817092</c:v>
                </c:pt>
                <c:pt idx="93">
                  <c:v>9.5231759468817092</c:v>
                </c:pt>
                <c:pt idx="94">
                  <c:v>9.5231759468817092</c:v>
                </c:pt>
                <c:pt idx="95">
                  <c:v>9.5231759468817092</c:v>
                </c:pt>
                <c:pt idx="96">
                  <c:v>9.5231759468817092</c:v>
                </c:pt>
                <c:pt idx="97">
                  <c:v>9.5231759468817092</c:v>
                </c:pt>
                <c:pt idx="98">
                  <c:v>9.5231759468817092</c:v>
                </c:pt>
                <c:pt idx="99">
                  <c:v>9.5231759468817092</c:v>
                </c:pt>
                <c:pt idx="100">
                  <c:v>9.5231759468817092</c:v>
                </c:pt>
                <c:pt idx="101">
                  <c:v>9.5231759468817092</c:v>
                </c:pt>
                <c:pt idx="102">
                  <c:v>9.5231759468817092</c:v>
                </c:pt>
                <c:pt idx="103">
                  <c:v>9.5231759468817092</c:v>
                </c:pt>
                <c:pt idx="104">
                  <c:v>9.5231759468817092</c:v>
                </c:pt>
                <c:pt idx="105">
                  <c:v>9.5231759468817092</c:v>
                </c:pt>
                <c:pt idx="106">
                  <c:v>9.5231759468817092</c:v>
                </c:pt>
                <c:pt idx="107">
                  <c:v>9.5231759468817092</c:v>
                </c:pt>
                <c:pt idx="108">
                  <c:v>9.5231759468817092</c:v>
                </c:pt>
                <c:pt idx="109">
                  <c:v>9.5231759468817092</c:v>
                </c:pt>
                <c:pt idx="110">
                  <c:v>9.5231759468817092</c:v>
                </c:pt>
                <c:pt idx="111">
                  <c:v>9.5231759468817092</c:v>
                </c:pt>
                <c:pt idx="112">
                  <c:v>9.5231759468817092</c:v>
                </c:pt>
                <c:pt idx="113">
                  <c:v>9.5231759468817092</c:v>
                </c:pt>
                <c:pt idx="114">
                  <c:v>9.5231759468817092</c:v>
                </c:pt>
                <c:pt idx="115">
                  <c:v>9.5231759468817092</c:v>
                </c:pt>
                <c:pt idx="116">
                  <c:v>9.5231759468817092</c:v>
                </c:pt>
                <c:pt idx="117">
                  <c:v>9.5231759468817092</c:v>
                </c:pt>
                <c:pt idx="118">
                  <c:v>9.5231759468817092</c:v>
                </c:pt>
                <c:pt idx="119">
                  <c:v>9.5231759468817092</c:v>
                </c:pt>
                <c:pt idx="120">
                  <c:v>9.5231759468817092</c:v>
                </c:pt>
                <c:pt idx="121">
                  <c:v>9.5231759468817092</c:v>
                </c:pt>
                <c:pt idx="122">
                  <c:v>9.5231759468817092</c:v>
                </c:pt>
                <c:pt idx="123">
                  <c:v>9.5231759468817092</c:v>
                </c:pt>
                <c:pt idx="124">
                  <c:v>9.5231759468817092</c:v>
                </c:pt>
                <c:pt idx="125">
                  <c:v>9.5231759468817092</c:v>
                </c:pt>
                <c:pt idx="126">
                  <c:v>9.5231759468817092</c:v>
                </c:pt>
                <c:pt idx="127">
                  <c:v>9.5231759468817092</c:v>
                </c:pt>
                <c:pt idx="128">
                  <c:v>9.5231759468817092</c:v>
                </c:pt>
                <c:pt idx="129">
                  <c:v>9.5231759468817092</c:v>
                </c:pt>
                <c:pt idx="130">
                  <c:v>9.5231759468817092</c:v>
                </c:pt>
                <c:pt idx="131">
                  <c:v>9.5231759468817092</c:v>
                </c:pt>
                <c:pt idx="132">
                  <c:v>9.5231759468817092</c:v>
                </c:pt>
                <c:pt idx="133">
                  <c:v>9.5231759468817092</c:v>
                </c:pt>
                <c:pt idx="134">
                  <c:v>9.5231759468817092</c:v>
                </c:pt>
                <c:pt idx="135">
                  <c:v>9.5231759468817092</c:v>
                </c:pt>
                <c:pt idx="136">
                  <c:v>9.5231759468817092</c:v>
                </c:pt>
                <c:pt idx="137">
                  <c:v>9.5231759468817092</c:v>
                </c:pt>
                <c:pt idx="138">
                  <c:v>9.5231759468817092</c:v>
                </c:pt>
                <c:pt idx="139">
                  <c:v>9.5231759468817092</c:v>
                </c:pt>
                <c:pt idx="140">
                  <c:v>9.5231759468817092</c:v>
                </c:pt>
                <c:pt idx="141">
                  <c:v>9.5231759468817092</c:v>
                </c:pt>
                <c:pt idx="142">
                  <c:v>9.5231759468817092</c:v>
                </c:pt>
                <c:pt idx="143">
                  <c:v>9.5231759468817092</c:v>
                </c:pt>
                <c:pt idx="144">
                  <c:v>9.5231759468817092</c:v>
                </c:pt>
                <c:pt idx="145">
                  <c:v>9.5231759468817092</c:v>
                </c:pt>
                <c:pt idx="146">
                  <c:v>9.5231759468817092</c:v>
                </c:pt>
                <c:pt idx="147">
                  <c:v>9.5231759468817092</c:v>
                </c:pt>
                <c:pt idx="148">
                  <c:v>9.5231759468817092</c:v>
                </c:pt>
                <c:pt idx="149">
                  <c:v>9.5231759468817092</c:v>
                </c:pt>
                <c:pt idx="150">
                  <c:v>9.5231759468817092</c:v>
                </c:pt>
                <c:pt idx="151">
                  <c:v>9.5231759468817092</c:v>
                </c:pt>
                <c:pt idx="152">
                  <c:v>9.5231759468817092</c:v>
                </c:pt>
                <c:pt idx="153">
                  <c:v>9.5231759468817092</c:v>
                </c:pt>
              </c:numCache>
            </c:numRef>
          </c:yVal>
          <c:smooth val="1"/>
          <c:extLst>
            <c:ext xmlns:c16="http://schemas.microsoft.com/office/drawing/2014/chart" uri="{C3380CC4-5D6E-409C-BE32-E72D297353CC}">
              <c16:uniqueId val="{00000001-874D-44D2-AB88-2F6DE3EF0711}"/>
            </c:ext>
          </c:extLst>
        </c:ser>
        <c:ser>
          <c:idx val="2"/>
          <c:order val="5"/>
          <c:tx>
            <c:strRef>
              <c:f>'CIN Network Design'!$AA$28</c:f>
              <c:strCache>
                <c:ptCount val="1"/>
                <c:pt idx="0">
                  <c:v>Z(TARGET, ESR, RIPPLE)</c:v>
                </c:pt>
              </c:strCache>
            </c:strRef>
          </c:tx>
          <c:spPr>
            <a:ln w="25400" cap="rnd">
              <a:solidFill>
                <a:srgbClr val="00B0F0"/>
              </a:solidFill>
              <a:prstDash val="sysDash"/>
              <a:round/>
            </a:ln>
            <a:effectLst/>
          </c:spPr>
          <c:marker>
            <c:symbol val="none"/>
          </c:marker>
          <c:xVal>
            <c:numRef>
              <c:f>'CIN Network Design'!$X$29:$X$182</c:f>
              <c:numCache>
                <c:formatCode>#,##0</c:formatCode>
                <c:ptCount val="154"/>
                <c:pt idx="0">
                  <c:v>1</c:v>
                </c:pt>
                <c:pt idx="1">
                  <c:v>2</c:v>
                </c:pt>
                <c:pt idx="2">
                  <c:v>3</c:v>
                </c:pt>
                <c:pt idx="3">
                  <c:v>4</c:v>
                </c:pt>
                <c:pt idx="4">
                  <c:v>5</c:v>
                </c:pt>
                <c:pt idx="5">
                  <c:v>6</c:v>
                </c:pt>
                <c:pt idx="6">
                  <c:v>7</c:v>
                </c:pt>
                <c:pt idx="7">
                  <c:v>8</c:v>
                </c:pt>
                <c:pt idx="8">
                  <c:v>9</c:v>
                </c:pt>
                <c:pt idx="9">
                  <c:v>10</c:v>
                </c:pt>
                <c:pt idx="10">
                  <c:v>15</c:v>
                </c:pt>
                <c:pt idx="11">
                  <c:v>20</c:v>
                </c:pt>
                <c:pt idx="12">
                  <c:v>25</c:v>
                </c:pt>
                <c:pt idx="13">
                  <c:v>30</c:v>
                </c:pt>
                <c:pt idx="14">
                  <c:v>35</c:v>
                </c:pt>
                <c:pt idx="15">
                  <c:v>40</c:v>
                </c:pt>
                <c:pt idx="16">
                  <c:v>45</c:v>
                </c:pt>
                <c:pt idx="17">
                  <c:v>50</c:v>
                </c:pt>
                <c:pt idx="18">
                  <c:v>55</c:v>
                </c:pt>
                <c:pt idx="19">
                  <c:v>60</c:v>
                </c:pt>
                <c:pt idx="20">
                  <c:v>65</c:v>
                </c:pt>
                <c:pt idx="21">
                  <c:v>70</c:v>
                </c:pt>
                <c:pt idx="22">
                  <c:v>75</c:v>
                </c:pt>
                <c:pt idx="23">
                  <c:v>80</c:v>
                </c:pt>
                <c:pt idx="24">
                  <c:v>85</c:v>
                </c:pt>
                <c:pt idx="25">
                  <c:v>90</c:v>
                </c:pt>
                <c:pt idx="26">
                  <c:v>95</c:v>
                </c:pt>
                <c:pt idx="27">
                  <c:v>100</c:v>
                </c:pt>
                <c:pt idx="28">
                  <c:v>150</c:v>
                </c:pt>
                <c:pt idx="29">
                  <c:v>200</c:v>
                </c:pt>
                <c:pt idx="30">
                  <c:v>250</c:v>
                </c:pt>
                <c:pt idx="31">
                  <c:v>300</c:v>
                </c:pt>
                <c:pt idx="32">
                  <c:v>350</c:v>
                </c:pt>
                <c:pt idx="33">
                  <c:v>400</c:v>
                </c:pt>
                <c:pt idx="34">
                  <c:v>450</c:v>
                </c:pt>
                <c:pt idx="35">
                  <c:v>500</c:v>
                </c:pt>
                <c:pt idx="36">
                  <c:v>550</c:v>
                </c:pt>
                <c:pt idx="37">
                  <c:v>600</c:v>
                </c:pt>
                <c:pt idx="38">
                  <c:v>650</c:v>
                </c:pt>
                <c:pt idx="39">
                  <c:v>700</c:v>
                </c:pt>
                <c:pt idx="40">
                  <c:v>750</c:v>
                </c:pt>
                <c:pt idx="41">
                  <c:v>800</c:v>
                </c:pt>
                <c:pt idx="42">
                  <c:v>850</c:v>
                </c:pt>
                <c:pt idx="43">
                  <c:v>900</c:v>
                </c:pt>
                <c:pt idx="44">
                  <c:v>950</c:v>
                </c:pt>
                <c:pt idx="45">
                  <c:v>1000</c:v>
                </c:pt>
                <c:pt idx="46">
                  <c:v>1500</c:v>
                </c:pt>
                <c:pt idx="47">
                  <c:v>2000</c:v>
                </c:pt>
                <c:pt idx="48">
                  <c:v>2500</c:v>
                </c:pt>
                <c:pt idx="49">
                  <c:v>3000</c:v>
                </c:pt>
                <c:pt idx="50">
                  <c:v>3500</c:v>
                </c:pt>
                <c:pt idx="51">
                  <c:v>4000</c:v>
                </c:pt>
                <c:pt idx="52">
                  <c:v>4500</c:v>
                </c:pt>
                <c:pt idx="53">
                  <c:v>5000</c:v>
                </c:pt>
                <c:pt idx="54">
                  <c:v>5500</c:v>
                </c:pt>
                <c:pt idx="55">
                  <c:v>6000</c:v>
                </c:pt>
                <c:pt idx="56">
                  <c:v>6500</c:v>
                </c:pt>
                <c:pt idx="57">
                  <c:v>7000</c:v>
                </c:pt>
                <c:pt idx="58">
                  <c:v>7500</c:v>
                </c:pt>
                <c:pt idx="59">
                  <c:v>8000</c:v>
                </c:pt>
                <c:pt idx="60">
                  <c:v>8500</c:v>
                </c:pt>
                <c:pt idx="61">
                  <c:v>9000</c:v>
                </c:pt>
                <c:pt idx="62">
                  <c:v>9500</c:v>
                </c:pt>
                <c:pt idx="63">
                  <c:v>10000</c:v>
                </c:pt>
                <c:pt idx="64">
                  <c:v>15000</c:v>
                </c:pt>
                <c:pt idx="65">
                  <c:v>20000</c:v>
                </c:pt>
                <c:pt idx="66">
                  <c:v>25000</c:v>
                </c:pt>
                <c:pt idx="67">
                  <c:v>30000</c:v>
                </c:pt>
                <c:pt idx="68">
                  <c:v>35000</c:v>
                </c:pt>
                <c:pt idx="69">
                  <c:v>40000</c:v>
                </c:pt>
                <c:pt idx="70">
                  <c:v>45000</c:v>
                </c:pt>
                <c:pt idx="71">
                  <c:v>50000</c:v>
                </c:pt>
                <c:pt idx="72">
                  <c:v>55000</c:v>
                </c:pt>
                <c:pt idx="73">
                  <c:v>60000</c:v>
                </c:pt>
                <c:pt idx="74">
                  <c:v>65000</c:v>
                </c:pt>
                <c:pt idx="75">
                  <c:v>70000</c:v>
                </c:pt>
                <c:pt idx="76">
                  <c:v>75000</c:v>
                </c:pt>
                <c:pt idx="77">
                  <c:v>80000</c:v>
                </c:pt>
                <c:pt idx="78">
                  <c:v>85000</c:v>
                </c:pt>
                <c:pt idx="79">
                  <c:v>90000</c:v>
                </c:pt>
                <c:pt idx="80">
                  <c:v>95000</c:v>
                </c:pt>
                <c:pt idx="81">
                  <c:v>100000</c:v>
                </c:pt>
                <c:pt idx="82">
                  <c:v>150000</c:v>
                </c:pt>
                <c:pt idx="83">
                  <c:v>200000</c:v>
                </c:pt>
                <c:pt idx="84">
                  <c:v>250000</c:v>
                </c:pt>
                <c:pt idx="85">
                  <c:v>300000</c:v>
                </c:pt>
                <c:pt idx="86">
                  <c:v>350000</c:v>
                </c:pt>
                <c:pt idx="87">
                  <c:v>400000</c:v>
                </c:pt>
                <c:pt idx="88">
                  <c:v>450000</c:v>
                </c:pt>
                <c:pt idx="89">
                  <c:v>500000</c:v>
                </c:pt>
                <c:pt idx="90">
                  <c:v>550000</c:v>
                </c:pt>
                <c:pt idx="91">
                  <c:v>600000</c:v>
                </c:pt>
                <c:pt idx="92">
                  <c:v>650000</c:v>
                </c:pt>
                <c:pt idx="93">
                  <c:v>700000</c:v>
                </c:pt>
                <c:pt idx="94">
                  <c:v>750000</c:v>
                </c:pt>
                <c:pt idx="95">
                  <c:v>800000</c:v>
                </c:pt>
                <c:pt idx="96">
                  <c:v>850000</c:v>
                </c:pt>
                <c:pt idx="97">
                  <c:v>900000</c:v>
                </c:pt>
                <c:pt idx="98">
                  <c:v>950000</c:v>
                </c:pt>
                <c:pt idx="99">
                  <c:v>1000000</c:v>
                </c:pt>
                <c:pt idx="100">
                  <c:v>1500000</c:v>
                </c:pt>
                <c:pt idx="101">
                  <c:v>2000000</c:v>
                </c:pt>
                <c:pt idx="102">
                  <c:v>2500000</c:v>
                </c:pt>
                <c:pt idx="103">
                  <c:v>3000000</c:v>
                </c:pt>
                <c:pt idx="104">
                  <c:v>3500000</c:v>
                </c:pt>
                <c:pt idx="105">
                  <c:v>4000000</c:v>
                </c:pt>
                <c:pt idx="106">
                  <c:v>4500000</c:v>
                </c:pt>
                <c:pt idx="107">
                  <c:v>5000000</c:v>
                </c:pt>
                <c:pt idx="108">
                  <c:v>5500000</c:v>
                </c:pt>
                <c:pt idx="109">
                  <c:v>6000000</c:v>
                </c:pt>
                <c:pt idx="110">
                  <c:v>6500000</c:v>
                </c:pt>
                <c:pt idx="111">
                  <c:v>7000000</c:v>
                </c:pt>
                <c:pt idx="112">
                  <c:v>7500000</c:v>
                </c:pt>
                <c:pt idx="113">
                  <c:v>8000000</c:v>
                </c:pt>
                <c:pt idx="114">
                  <c:v>8500000</c:v>
                </c:pt>
                <c:pt idx="115">
                  <c:v>9000000</c:v>
                </c:pt>
                <c:pt idx="116">
                  <c:v>9500000</c:v>
                </c:pt>
                <c:pt idx="117">
                  <c:v>10000000</c:v>
                </c:pt>
                <c:pt idx="118">
                  <c:v>15000000</c:v>
                </c:pt>
                <c:pt idx="119">
                  <c:v>20000000</c:v>
                </c:pt>
                <c:pt idx="120">
                  <c:v>25000000</c:v>
                </c:pt>
                <c:pt idx="121">
                  <c:v>30000000</c:v>
                </c:pt>
                <c:pt idx="122">
                  <c:v>35000000</c:v>
                </c:pt>
                <c:pt idx="123">
                  <c:v>40000000</c:v>
                </c:pt>
                <c:pt idx="124">
                  <c:v>45000000</c:v>
                </c:pt>
                <c:pt idx="125">
                  <c:v>50000000</c:v>
                </c:pt>
                <c:pt idx="126">
                  <c:v>55000000</c:v>
                </c:pt>
                <c:pt idx="127">
                  <c:v>60000000</c:v>
                </c:pt>
                <c:pt idx="128">
                  <c:v>65000000</c:v>
                </c:pt>
                <c:pt idx="129">
                  <c:v>70000000</c:v>
                </c:pt>
                <c:pt idx="130">
                  <c:v>75000000</c:v>
                </c:pt>
                <c:pt idx="131">
                  <c:v>80000000</c:v>
                </c:pt>
                <c:pt idx="132">
                  <c:v>85000000</c:v>
                </c:pt>
                <c:pt idx="133">
                  <c:v>90000000</c:v>
                </c:pt>
                <c:pt idx="134">
                  <c:v>95000000</c:v>
                </c:pt>
                <c:pt idx="135">
                  <c:v>100000000</c:v>
                </c:pt>
                <c:pt idx="136">
                  <c:v>150000000</c:v>
                </c:pt>
                <c:pt idx="137">
                  <c:v>200000000</c:v>
                </c:pt>
                <c:pt idx="138">
                  <c:v>250000000</c:v>
                </c:pt>
                <c:pt idx="139">
                  <c:v>300000000</c:v>
                </c:pt>
                <c:pt idx="140">
                  <c:v>350000000</c:v>
                </c:pt>
                <c:pt idx="141">
                  <c:v>400000000</c:v>
                </c:pt>
                <c:pt idx="142">
                  <c:v>450000000</c:v>
                </c:pt>
                <c:pt idx="143">
                  <c:v>500000000</c:v>
                </c:pt>
                <c:pt idx="144">
                  <c:v>550000000</c:v>
                </c:pt>
                <c:pt idx="145">
                  <c:v>600000000</c:v>
                </c:pt>
                <c:pt idx="146">
                  <c:v>650000000</c:v>
                </c:pt>
                <c:pt idx="147">
                  <c:v>700000000</c:v>
                </c:pt>
                <c:pt idx="148">
                  <c:v>750000000</c:v>
                </c:pt>
                <c:pt idx="149">
                  <c:v>800000000</c:v>
                </c:pt>
                <c:pt idx="150">
                  <c:v>850000000</c:v>
                </c:pt>
                <c:pt idx="151">
                  <c:v>900000000</c:v>
                </c:pt>
                <c:pt idx="152">
                  <c:v>950000000</c:v>
                </c:pt>
                <c:pt idx="153">
                  <c:v>1000000000</c:v>
                </c:pt>
              </c:numCache>
            </c:numRef>
          </c:xVal>
          <c:yVal>
            <c:numRef>
              <c:f>'CIN Network Design'!$AA$29:$AA$182</c:f>
              <c:numCache>
                <c:formatCode>0.00</c:formatCode>
                <c:ptCount val="154"/>
                <c:pt idx="0">
                  <c:v>3.2727272727272729</c:v>
                </c:pt>
                <c:pt idx="1">
                  <c:v>3.2727272727272729</c:v>
                </c:pt>
                <c:pt idx="2">
                  <c:v>3.2727272727272729</c:v>
                </c:pt>
                <c:pt idx="3">
                  <c:v>3.2727272727272729</c:v>
                </c:pt>
                <c:pt idx="4">
                  <c:v>3.2727272727272729</c:v>
                </c:pt>
                <c:pt idx="5">
                  <c:v>3.2727272727272729</c:v>
                </c:pt>
                <c:pt idx="6">
                  <c:v>3.2727272727272729</c:v>
                </c:pt>
                <c:pt idx="7">
                  <c:v>3.2727272727272729</c:v>
                </c:pt>
                <c:pt idx="8">
                  <c:v>3.2727272727272729</c:v>
                </c:pt>
                <c:pt idx="9">
                  <c:v>3.2727272727272729</c:v>
                </c:pt>
                <c:pt idx="10">
                  <c:v>3.2727272727272729</c:v>
                </c:pt>
                <c:pt idx="11">
                  <c:v>3.2727272727272729</c:v>
                </c:pt>
                <c:pt idx="12">
                  <c:v>3.2727272727272729</c:v>
                </c:pt>
                <c:pt idx="13">
                  <c:v>3.2727272727272729</c:v>
                </c:pt>
                <c:pt idx="14">
                  <c:v>3.2727272727272729</c:v>
                </c:pt>
                <c:pt idx="15">
                  <c:v>3.2727272727272729</c:v>
                </c:pt>
                <c:pt idx="16">
                  <c:v>3.2727272727272729</c:v>
                </c:pt>
                <c:pt idx="17">
                  <c:v>3.2727272727272729</c:v>
                </c:pt>
                <c:pt idx="18">
                  <c:v>3.2727272727272729</c:v>
                </c:pt>
                <c:pt idx="19">
                  <c:v>3.2727272727272729</c:v>
                </c:pt>
                <c:pt idx="20">
                  <c:v>3.2727272727272729</c:v>
                </c:pt>
                <c:pt idx="21">
                  <c:v>3.2727272727272729</c:v>
                </c:pt>
                <c:pt idx="22">
                  <c:v>3.2727272727272729</c:v>
                </c:pt>
                <c:pt idx="23">
                  <c:v>3.2727272727272729</c:v>
                </c:pt>
                <c:pt idx="24">
                  <c:v>3.2727272727272729</c:v>
                </c:pt>
                <c:pt idx="25">
                  <c:v>3.2727272727272729</c:v>
                </c:pt>
                <c:pt idx="26">
                  <c:v>3.2727272727272729</c:v>
                </c:pt>
                <c:pt idx="27">
                  <c:v>3.2727272727272729</c:v>
                </c:pt>
                <c:pt idx="28">
                  <c:v>3.2727272727272729</c:v>
                </c:pt>
                <c:pt idx="29">
                  <c:v>3.2727272727272729</c:v>
                </c:pt>
                <c:pt idx="30">
                  <c:v>3.2727272727272729</c:v>
                </c:pt>
                <c:pt idx="31">
                  <c:v>3.2727272727272729</c:v>
                </c:pt>
                <c:pt idx="32">
                  <c:v>3.2727272727272729</c:v>
                </c:pt>
                <c:pt idx="33">
                  <c:v>3.2727272727272729</c:v>
                </c:pt>
                <c:pt idx="34">
                  <c:v>3.2727272727272729</c:v>
                </c:pt>
                <c:pt idx="35">
                  <c:v>3.2727272727272729</c:v>
                </c:pt>
                <c:pt idx="36">
                  <c:v>3.2727272727272729</c:v>
                </c:pt>
                <c:pt idx="37">
                  <c:v>3.2727272727272729</c:v>
                </c:pt>
                <c:pt idx="38">
                  <c:v>3.2727272727272729</c:v>
                </c:pt>
                <c:pt idx="39">
                  <c:v>3.2727272727272729</c:v>
                </c:pt>
                <c:pt idx="40">
                  <c:v>3.2727272727272729</c:v>
                </c:pt>
                <c:pt idx="41">
                  <c:v>3.2727272727272729</c:v>
                </c:pt>
                <c:pt idx="42">
                  <c:v>3.2727272727272729</c:v>
                </c:pt>
                <c:pt idx="43">
                  <c:v>3.2727272727272729</c:v>
                </c:pt>
                <c:pt idx="44">
                  <c:v>3.2727272727272729</c:v>
                </c:pt>
                <c:pt idx="45">
                  <c:v>3.2727272727272729</c:v>
                </c:pt>
                <c:pt idx="46">
                  <c:v>3.2727272727272729</c:v>
                </c:pt>
                <c:pt idx="47">
                  <c:v>3.2727272727272729</c:v>
                </c:pt>
                <c:pt idx="48">
                  <c:v>3.2727272727272729</c:v>
                </c:pt>
                <c:pt idx="49">
                  <c:v>3.2727272727272729</c:v>
                </c:pt>
                <c:pt idx="50">
                  <c:v>3.2727272727272729</c:v>
                </c:pt>
                <c:pt idx="51">
                  <c:v>3.2727272727272729</c:v>
                </c:pt>
                <c:pt idx="52">
                  <c:v>3.2727272727272729</c:v>
                </c:pt>
                <c:pt idx="53">
                  <c:v>3.2727272727272729</c:v>
                </c:pt>
                <c:pt idx="54">
                  <c:v>3.2727272727272729</c:v>
                </c:pt>
                <c:pt idx="55">
                  <c:v>3.2727272727272729</c:v>
                </c:pt>
                <c:pt idx="56">
                  <c:v>3.2727272727272729</c:v>
                </c:pt>
                <c:pt idx="57">
                  <c:v>3.2727272727272729</c:v>
                </c:pt>
                <c:pt idx="58">
                  <c:v>3.2727272727272729</c:v>
                </c:pt>
                <c:pt idx="59">
                  <c:v>3.2727272727272729</c:v>
                </c:pt>
                <c:pt idx="60">
                  <c:v>3.2727272727272729</c:v>
                </c:pt>
                <c:pt idx="61">
                  <c:v>3.2727272727272729</c:v>
                </c:pt>
                <c:pt idx="62">
                  <c:v>3.2727272727272729</c:v>
                </c:pt>
                <c:pt idx="63">
                  <c:v>3.2727272727272729</c:v>
                </c:pt>
                <c:pt idx="64">
                  <c:v>3.2727272727272729</c:v>
                </c:pt>
                <c:pt idx="65">
                  <c:v>3.2727272727272729</c:v>
                </c:pt>
                <c:pt idx="66">
                  <c:v>3.2727272727272729</c:v>
                </c:pt>
                <c:pt idx="67">
                  <c:v>3.2727272727272729</c:v>
                </c:pt>
                <c:pt idx="68">
                  <c:v>3.2727272727272729</c:v>
                </c:pt>
                <c:pt idx="69">
                  <c:v>3.2727272727272729</c:v>
                </c:pt>
                <c:pt idx="70">
                  <c:v>3.2727272727272729</c:v>
                </c:pt>
                <c:pt idx="71">
                  <c:v>3.2727272727272729</c:v>
                </c:pt>
                <c:pt idx="72">
                  <c:v>3.2727272727272729</c:v>
                </c:pt>
                <c:pt idx="73">
                  <c:v>3.2727272727272729</c:v>
                </c:pt>
                <c:pt idx="74">
                  <c:v>3.2727272727272729</c:v>
                </c:pt>
                <c:pt idx="75">
                  <c:v>3.2727272727272729</c:v>
                </c:pt>
                <c:pt idx="76">
                  <c:v>3.2727272727272729</c:v>
                </c:pt>
                <c:pt idx="77">
                  <c:v>3.2727272727272729</c:v>
                </c:pt>
                <c:pt idx="78">
                  <c:v>3.2727272727272729</c:v>
                </c:pt>
                <c:pt idx="79">
                  <c:v>3.2727272727272729</c:v>
                </c:pt>
                <c:pt idx="80">
                  <c:v>3.2727272727272729</c:v>
                </c:pt>
                <c:pt idx="81">
                  <c:v>3.2727272727272729</c:v>
                </c:pt>
                <c:pt idx="82">
                  <c:v>3.2727272727272729</c:v>
                </c:pt>
                <c:pt idx="83">
                  <c:v>3.2727272727272729</c:v>
                </c:pt>
                <c:pt idx="84">
                  <c:v>3.2727272727272729</c:v>
                </c:pt>
                <c:pt idx="85">
                  <c:v>3.2727272727272729</c:v>
                </c:pt>
                <c:pt idx="86">
                  <c:v>3.2727272727272729</c:v>
                </c:pt>
                <c:pt idx="87">
                  <c:v>3.2727272727272729</c:v>
                </c:pt>
                <c:pt idx="88">
                  <c:v>3.2727272727272729</c:v>
                </c:pt>
                <c:pt idx="89">
                  <c:v>3.2727272727272729</c:v>
                </c:pt>
                <c:pt idx="90">
                  <c:v>3.2727272727272729</c:v>
                </c:pt>
                <c:pt idx="91">
                  <c:v>3.2727272727272729</c:v>
                </c:pt>
                <c:pt idx="92">
                  <c:v>3.2727272727272729</c:v>
                </c:pt>
                <c:pt idx="93">
                  <c:v>3.2727272727272729</c:v>
                </c:pt>
                <c:pt idx="94">
                  <c:v>3.2727272727272729</c:v>
                </c:pt>
                <c:pt idx="95">
                  <c:v>3.2727272727272729</c:v>
                </c:pt>
                <c:pt idx="96">
                  <c:v>3.2727272727272729</c:v>
                </c:pt>
                <c:pt idx="97">
                  <c:v>3.2727272727272729</c:v>
                </c:pt>
                <c:pt idx="98">
                  <c:v>3.2727272727272729</c:v>
                </c:pt>
                <c:pt idx="99">
                  <c:v>3.2727272727272729</c:v>
                </c:pt>
                <c:pt idx="100">
                  <c:v>3.2727272727272729</c:v>
                </c:pt>
                <c:pt idx="101">
                  <c:v>3.2727272727272729</c:v>
                </c:pt>
                <c:pt idx="102">
                  <c:v>3.2727272727272729</c:v>
                </c:pt>
                <c:pt idx="103">
                  <c:v>3.2727272727272729</c:v>
                </c:pt>
                <c:pt idx="104">
                  <c:v>3.2727272727272729</c:v>
                </c:pt>
                <c:pt idx="105">
                  <c:v>3.2727272727272729</c:v>
                </c:pt>
                <c:pt idx="106">
                  <c:v>3.2727272727272729</c:v>
                </c:pt>
                <c:pt idx="107">
                  <c:v>3.2727272727272729</c:v>
                </c:pt>
                <c:pt idx="108">
                  <c:v>3.2727272727272729</c:v>
                </c:pt>
                <c:pt idx="109">
                  <c:v>3.2727272727272729</c:v>
                </c:pt>
                <c:pt idx="110">
                  <c:v>3.2727272727272729</c:v>
                </c:pt>
                <c:pt idx="111">
                  <c:v>3.2727272727272729</c:v>
                </c:pt>
                <c:pt idx="112">
                  <c:v>3.2727272727272729</c:v>
                </c:pt>
                <c:pt idx="113">
                  <c:v>3.2727272727272729</c:v>
                </c:pt>
                <c:pt idx="114">
                  <c:v>3.2727272727272729</c:v>
                </c:pt>
                <c:pt idx="115">
                  <c:v>3.2727272727272729</c:v>
                </c:pt>
                <c:pt idx="116">
                  <c:v>3.2727272727272729</c:v>
                </c:pt>
                <c:pt idx="117">
                  <c:v>3.2727272727272729</c:v>
                </c:pt>
                <c:pt idx="118">
                  <c:v>3.2727272727272729</c:v>
                </c:pt>
                <c:pt idx="119">
                  <c:v>3.2727272727272729</c:v>
                </c:pt>
                <c:pt idx="120">
                  <c:v>3.2727272727272729</c:v>
                </c:pt>
                <c:pt idx="121">
                  <c:v>3.2727272727272729</c:v>
                </c:pt>
                <c:pt idx="122">
                  <c:v>3.2727272727272729</c:v>
                </c:pt>
                <c:pt idx="123">
                  <c:v>3.2727272727272729</c:v>
                </c:pt>
                <c:pt idx="124">
                  <c:v>3.2727272727272729</c:v>
                </c:pt>
                <c:pt idx="125">
                  <c:v>3.2727272727272729</c:v>
                </c:pt>
                <c:pt idx="126">
                  <c:v>3.2727272727272729</c:v>
                </c:pt>
                <c:pt idx="127">
                  <c:v>3.2727272727272729</c:v>
                </c:pt>
                <c:pt idx="128">
                  <c:v>3.2727272727272729</c:v>
                </c:pt>
                <c:pt idx="129">
                  <c:v>3.2727272727272729</c:v>
                </c:pt>
                <c:pt idx="130">
                  <c:v>3.2727272727272729</c:v>
                </c:pt>
                <c:pt idx="131">
                  <c:v>3.2727272727272729</c:v>
                </c:pt>
                <c:pt idx="132">
                  <c:v>3.2727272727272729</c:v>
                </c:pt>
                <c:pt idx="133">
                  <c:v>3.2727272727272729</c:v>
                </c:pt>
                <c:pt idx="134">
                  <c:v>3.2727272727272729</c:v>
                </c:pt>
                <c:pt idx="135">
                  <c:v>3.2727272727272729</c:v>
                </c:pt>
                <c:pt idx="136">
                  <c:v>3.2727272727272729</c:v>
                </c:pt>
                <c:pt idx="137">
                  <c:v>3.2727272727272729</c:v>
                </c:pt>
                <c:pt idx="138">
                  <c:v>3.2727272727272729</c:v>
                </c:pt>
                <c:pt idx="139">
                  <c:v>3.2727272727272729</c:v>
                </c:pt>
                <c:pt idx="140">
                  <c:v>3.2727272727272729</c:v>
                </c:pt>
                <c:pt idx="141">
                  <c:v>3.2727272727272729</c:v>
                </c:pt>
                <c:pt idx="142">
                  <c:v>3.2727272727272729</c:v>
                </c:pt>
                <c:pt idx="143">
                  <c:v>3.2727272727272729</c:v>
                </c:pt>
                <c:pt idx="144">
                  <c:v>3.2727272727272729</c:v>
                </c:pt>
                <c:pt idx="145">
                  <c:v>3.2727272727272729</c:v>
                </c:pt>
                <c:pt idx="146">
                  <c:v>3.2727272727272729</c:v>
                </c:pt>
                <c:pt idx="147">
                  <c:v>3.2727272727272729</c:v>
                </c:pt>
                <c:pt idx="148">
                  <c:v>3.2727272727272729</c:v>
                </c:pt>
                <c:pt idx="149">
                  <c:v>3.2727272727272729</c:v>
                </c:pt>
                <c:pt idx="150">
                  <c:v>3.2727272727272729</c:v>
                </c:pt>
                <c:pt idx="151">
                  <c:v>3.2727272727272729</c:v>
                </c:pt>
                <c:pt idx="152">
                  <c:v>3.2727272727272729</c:v>
                </c:pt>
                <c:pt idx="153">
                  <c:v>3.2727272727272729</c:v>
                </c:pt>
              </c:numCache>
            </c:numRef>
          </c:yVal>
          <c:smooth val="1"/>
          <c:extLst>
            <c:ext xmlns:c16="http://schemas.microsoft.com/office/drawing/2014/chart" uri="{C3380CC4-5D6E-409C-BE32-E72D297353CC}">
              <c16:uniqueId val="{00000002-874D-44D2-AB88-2F6DE3EF0711}"/>
            </c:ext>
          </c:extLst>
        </c:ser>
        <c:ser>
          <c:idx val="3"/>
          <c:order val="6"/>
          <c:tx>
            <c:strRef>
              <c:f>'CIN Network Design'!$AB$28</c:f>
              <c:strCache>
                <c:ptCount val="1"/>
                <c:pt idx="0">
                  <c:v>Z(TARGET, STEP)</c:v>
                </c:pt>
              </c:strCache>
            </c:strRef>
          </c:tx>
          <c:spPr>
            <a:ln w="25400" cap="rnd">
              <a:solidFill>
                <a:srgbClr val="00B050"/>
              </a:solidFill>
              <a:prstDash val="sysDash"/>
              <a:round/>
            </a:ln>
            <a:effectLst/>
          </c:spPr>
          <c:marker>
            <c:symbol val="none"/>
          </c:marker>
          <c:xVal>
            <c:numRef>
              <c:f>'CIN Network Design'!$X$29:$X$182</c:f>
              <c:numCache>
                <c:formatCode>#,##0</c:formatCode>
                <c:ptCount val="154"/>
                <c:pt idx="0">
                  <c:v>1</c:v>
                </c:pt>
                <c:pt idx="1">
                  <c:v>2</c:v>
                </c:pt>
                <c:pt idx="2">
                  <c:v>3</c:v>
                </c:pt>
                <c:pt idx="3">
                  <c:v>4</c:v>
                </c:pt>
                <c:pt idx="4">
                  <c:v>5</c:v>
                </c:pt>
                <c:pt idx="5">
                  <c:v>6</c:v>
                </c:pt>
                <c:pt idx="6">
                  <c:v>7</c:v>
                </c:pt>
                <c:pt idx="7">
                  <c:v>8</c:v>
                </c:pt>
                <c:pt idx="8">
                  <c:v>9</c:v>
                </c:pt>
                <c:pt idx="9">
                  <c:v>10</c:v>
                </c:pt>
                <c:pt idx="10">
                  <c:v>15</c:v>
                </c:pt>
                <c:pt idx="11">
                  <c:v>20</c:v>
                </c:pt>
                <c:pt idx="12">
                  <c:v>25</c:v>
                </c:pt>
                <c:pt idx="13">
                  <c:v>30</c:v>
                </c:pt>
                <c:pt idx="14">
                  <c:v>35</c:v>
                </c:pt>
                <c:pt idx="15">
                  <c:v>40</c:v>
                </c:pt>
                <c:pt idx="16">
                  <c:v>45</c:v>
                </c:pt>
                <c:pt idx="17">
                  <c:v>50</c:v>
                </c:pt>
                <c:pt idx="18">
                  <c:v>55</c:v>
                </c:pt>
                <c:pt idx="19">
                  <c:v>60</c:v>
                </c:pt>
                <c:pt idx="20">
                  <c:v>65</c:v>
                </c:pt>
                <c:pt idx="21">
                  <c:v>70</c:v>
                </c:pt>
                <c:pt idx="22">
                  <c:v>75</c:v>
                </c:pt>
                <c:pt idx="23">
                  <c:v>80</c:v>
                </c:pt>
                <c:pt idx="24">
                  <c:v>85</c:v>
                </c:pt>
                <c:pt idx="25">
                  <c:v>90</c:v>
                </c:pt>
                <c:pt idx="26">
                  <c:v>95</c:v>
                </c:pt>
                <c:pt idx="27">
                  <c:v>100</c:v>
                </c:pt>
                <c:pt idx="28">
                  <c:v>150</c:v>
                </c:pt>
                <c:pt idx="29">
                  <c:v>200</c:v>
                </c:pt>
                <c:pt idx="30">
                  <c:v>250</c:v>
                </c:pt>
                <c:pt idx="31">
                  <c:v>300</c:v>
                </c:pt>
                <c:pt idx="32">
                  <c:v>350</c:v>
                </c:pt>
                <c:pt idx="33">
                  <c:v>400</c:v>
                </c:pt>
                <c:pt idx="34">
                  <c:v>450</c:v>
                </c:pt>
                <c:pt idx="35">
                  <c:v>500</c:v>
                </c:pt>
                <c:pt idx="36">
                  <c:v>550</c:v>
                </c:pt>
                <c:pt idx="37">
                  <c:v>600</c:v>
                </c:pt>
                <c:pt idx="38">
                  <c:v>650</c:v>
                </c:pt>
                <c:pt idx="39">
                  <c:v>700</c:v>
                </c:pt>
                <c:pt idx="40">
                  <c:v>750</c:v>
                </c:pt>
                <c:pt idx="41">
                  <c:v>800</c:v>
                </c:pt>
                <c:pt idx="42">
                  <c:v>850</c:v>
                </c:pt>
                <c:pt idx="43">
                  <c:v>900</c:v>
                </c:pt>
                <c:pt idx="44">
                  <c:v>950</c:v>
                </c:pt>
                <c:pt idx="45">
                  <c:v>1000</c:v>
                </c:pt>
                <c:pt idx="46">
                  <c:v>1500</c:v>
                </c:pt>
                <c:pt idx="47">
                  <c:v>2000</c:v>
                </c:pt>
                <c:pt idx="48">
                  <c:v>2500</c:v>
                </c:pt>
                <c:pt idx="49">
                  <c:v>3000</c:v>
                </c:pt>
                <c:pt idx="50">
                  <c:v>3500</c:v>
                </c:pt>
                <c:pt idx="51">
                  <c:v>4000</c:v>
                </c:pt>
                <c:pt idx="52">
                  <c:v>4500</c:v>
                </c:pt>
                <c:pt idx="53">
                  <c:v>5000</c:v>
                </c:pt>
                <c:pt idx="54">
                  <c:v>5500</c:v>
                </c:pt>
                <c:pt idx="55">
                  <c:v>6000</c:v>
                </c:pt>
                <c:pt idx="56">
                  <c:v>6500</c:v>
                </c:pt>
                <c:pt idx="57">
                  <c:v>7000</c:v>
                </c:pt>
                <c:pt idx="58">
                  <c:v>7500</c:v>
                </c:pt>
                <c:pt idx="59">
                  <c:v>8000</c:v>
                </c:pt>
                <c:pt idx="60">
                  <c:v>8500</c:v>
                </c:pt>
                <c:pt idx="61">
                  <c:v>9000</c:v>
                </c:pt>
                <c:pt idx="62">
                  <c:v>9500</c:v>
                </c:pt>
                <c:pt idx="63">
                  <c:v>10000</c:v>
                </c:pt>
                <c:pt idx="64">
                  <c:v>15000</c:v>
                </c:pt>
                <c:pt idx="65">
                  <c:v>20000</c:v>
                </c:pt>
                <c:pt idx="66">
                  <c:v>25000</c:v>
                </c:pt>
                <c:pt idx="67">
                  <c:v>30000</c:v>
                </c:pt>
                <c:pt idx="68">
                  <c:v>35000</c:v>
                </c:pt>
                <c:pt idx="69">
                  <c:v>40000</c:v>
                </c:pt>
                <c:pt idx="70">
                  <c:v>45000</c:v>
                </c:pt>
                <c:pt idx="71">
                  <c:v>50000</c:v>
                </c:pt>
                <c:pt idx="72">
                  <c:v>55000</c:v>
                </c:pt>
                <c:pt idx="73">
                  <c:v>60000</c:v>
                </c:pt>
                <c:pt idx="74">
                  <c:v>65000</c:v>
                </c:pt>
                <c:pt idx="75">
                  <c:v>70000</c:v>
                </c:pt>
                <c:pt idx="76">
                  <c:v>75000</c:v>
                </c:pt>
                <c:pt idx="77">
                  <c:v>80000</c:v>
                </c:pt>
                <c:pt idx="78">
                  <c:v>85000</c:v>
                </c:pt>
                <c:pt idx="79">
                  <c:v>90000</c:v>
                </c:pt>
                <c:pt idx="80">
                  <c:v>95000</c:v>
                </c:pt>
                <c:pt idx="81">
                  <c:v>100000</c:v>
                </c:pt>
                <c:pt idx="82">
                  <c:v>150000</c:v>
                </c:pt>
                <c:pt idx="83">
                  <c:v>200000</c:v>
                </c:pt>
                <c:pt idx="84">
                  <c:v>250000</c:v>
                </c:pt>
                <c:pt idx="85">
                  <c:v>300000</c:v>
                </c:pt>
                <c:pt idx="86">
                  <c:v>350000</c:v>
                </c:pt>
                <c:pt idx="87">
                  <c:v>400000</c:v>
                </c:pt>
                <c:pt idx="88">
                  <c:v>450000</c:v>
                </c:pt>
                <c:pt idx="89">
                  <c:v>500000</c:v>
                </c:pt>
                <c:pt idx="90">
                  <c:v>550000</c:v>
                </c:pt>
                <c:pt idx="91">
                  <c:v>600000</c:v>
                </c:pt>
                <c:pt idx="92">
                  <c:v>650000</c:v>
                </c:pt>
                <c:pt idx="93">
                  <c:v>700000</c:v>
                </c:pt>
                <c:pt idx="94">
                  <c:v>750000</c:v>
                </c:pt>
                <c:pt idx="95">
                  <c:v>800000</c:v>
                </c:pt>
                <c:pt idx="96">
                  <c:v>850000</c:v>
                </c:pt>
                <c:pt idx="97">
                  <c:v>900000</c:v>
                </c:pt>
                <c:pt idx="98">
                  <c:v>950000</c:v>
                </c:pt>
                <c:pt idx="99">
                  <c:v>1000000</c:v>
                </c:pt>
                <c:pt idx="100">
                  <c:v>1500000</c:v>
                </c:pt>
                <c:pt idx="101">
                  <c:v>2000000</c:v>
                </c:pt>
                <c:pt idx="102">
                  <c:v>2500000</c:v>
                </c:pt>
                <c:pt idx="103">
                  <c:v>3000000</c:v>
                </c:pt>
                <c:pt idx="104">
                  <c:v>3500000</c:v>
                </c:pt>
                <c:pt idx="105">
                  <c:v>4000000</c:v>
                </c:pt>
                <c:pt idx="106">
                  <c:v>4500000</c:v>
                </c:pt>
                <c:pt idx="107">
                  <c:v>5000000</c:v>
                </c:pt>
                <c:pt idx="108">
                  <c:v>5500000</c:v>
                </c:pt>
                <c:pt idx="109">
                  <c:v>6000000</c:v>
                </c:pt>
                <c:pt idx="110">
                  <c:v>6500000</c:v>
                </c:pt>
                <c:pt idx="111">
                  <c:v>7000000</c:v>
                </c:pt>
                <c:pt idx="112">
                  <c:v>7500000</c:v>
                </c:pt>
                <c:pt idx="113">
                  <c:v>8000000</c:v>
                </c:pt>
                <c:pt idx="114">
                  <c:v>8500000</c:v>
                </c:pt>
                <c:pt idx="115">
                  <c:v>9000000</c:v>
                </c:pt>
                <c:pt idx="116">
                  <c:v>9500000</c:v>
                </c:pt>
                <c:pt idx="117">
                  <c:v>10000000</c:v>
                </c:pt>
                <c:pt idx="118">
                  <c:v>15000000</c:v>
                </c:pt>
                <c:pt idx="119">
                  <c:v>20000000</c:v>
                </c:pt>
                <c:pt idx="120">
                  <c:v>25000000</c:v>
                </c:pt>
                <c:pt idx="121">
                  <c:v>30000000</c:v>
                </c:pt>
                <c:pt idx="122">
                  <c:v>35000000</c:v>
                </c:pt>
                <c:pt idx="123">
                  <c:v>40000000</c:v>
                </c:pt>
                <c:pt idx="124">
                  <c:v>45000000</c:v>
                </c:pt>
                <c:pt idx="125">
                  <c:v>50000000</c:v>
                </c:pt>
                <c:pt idx="126">
                  <c:v>55000000</c:v>
                </c:pt>
                <c:pt idx="127">
                  <c:v>60000000</c:v>
                </c:pt>
                <c:pt idx="128">
                  <c:v>65000000</c:v>
                </c:pt>
                <c:pt idx="129">
                  <c:v>70000000</c:v>
                </c:pt>
                <c:pt idx="130">
                  <c:v>75000000</c:v>
                </c:pt>
                <c:pt idx="131">
                  <c:v>80000000</c:v>
                </c:pt>
                <c:pt idx="132">
                  <c:v>85000000</c:v>
                </c:pt>
                <c:pt idx="133">
                  <c:v>90000000</c:v>
                </c:pt>
                <c:pt idx="134">
                  <c:v>95000000</c:v>
                </c:pt>
                <c:pt idx="135">
                  <c:v>100000000</c:v>
                </c:pt>
                <c:pt idx="136">
                  <c:v>150000000</c:v>
                </c:pt>
                <c:pt idx="137">
                  <c:v>200000000</c:v>
                </c:pt>
                <c:pt idx="138">
                  <c:v>250000000</c:v>
                </c:pt>
                <c:pt idx="139">
                  <c:v>300000000</c:v>
                </c:pt>
                <c:pt idx="140">
                  <c:v>350000000</c:v>
                </c:pt>
                <c:pt idx="141">
                  <c:v>400000000</c:v>
                </c:pt>
                <c:pt idx="142">
                  <c:v>450000000</c:v>
                </c:pt>
                <c:pt idx="143">
                  <c:v>500000000</c:v>
                </c:pt>
                <c:pt idx="144">
                  <c:v>550000000</c:v>
                </c:pt>
                <c:pt idx="145">
                  <c:v>600000000</c:v>
                </c:pt>
                <c:pt idx="146">
                  <c:v>650000000</c:v>
                </c:pt>
                <c:pt idx="147">
                  <c:v>700000000</c:v>
                </c:pt>
                <c:pt idx="148">
                  <c:v>750000000</c:v>
                </c:pt>
                <c:pt idx="149">
                  <c:v>800000000</c:v>
                </c:pt>
                <c:pt idx="150">
                  <c:v>850000000</c:v>
                </c:pt>
                <c:pt idx="151">
                  <c:v>900000000</c:v>
                </c:pt>
                <c:pt idx="152">
                  <c:v>950000000</c:v>
                </c:pt>
                <c:pt idx="153">
                  <c:v>1000000000</c:v>
                </c:pt>
              </c:numCache>
            </c:numRef>
          </c:xVal>
          <c:yVal>
            <c:numRef>
              <c:f>'CIN Network Design'!$AB$29:$AB$182</c:f>
              <c:numCache>
                <c:formatCode>0.00</c:formatCode>
                <c:ptCount val="154"/>
                <c:pt idx="0">
                  <c:v>87.272727272727309</c:v>
                </c:pt>
                <c:pt idx="1">
                  <c:v>87.272727272727309</c:v>
                </c:pt>
                <c:pt idx="2">
                  <c:v>87.272727272727309</c:v>
                </c:pt>
                <c:pt idx="3">
                  <c:v>87.272727272727309</c:v>
                </c:pt>
                <c:pt idx="4">
                  <c:v>87.272727272727309</c:v>
                </c:pt>
                <c:pt idx="5">
                  <c:v>87.272727272727309</c:v>
                </c:pt>
                <c:pt idx="6">
                  <c:v>87.272727272727309</c:v>
                </c:pt>
                <c:pt idx="7">
                  <c:v>87.272727272727309</c:v>
                </c:pt>
                <c:pt idx="8">
                  <c:v>87.272727272727309</c:v>
                </c:pt>
                <c:pt idx="9">
                  <c:v>87.272727272727309</c:v>
                </c:pt>
                <c:pt idx="10">
                  <c:v>87.272727272727309</c:v>
                </c:pt>
                <c:pt idx="11">
                  <c:v>87.272727272727309</c:v>
                </c:pt>
                <c:pt idx="12">
                  <c:v>87.272727272727309</c:v>
                </c:pt>
                <c:pt idx="13">
                  <c:v>87.272727272727309</c:v>
                </c:pt>
                <c:pt idx="14">
                  <c:v>87.272727272727309</c:v>
                </c:pt>
                <c:pt idx="15">
                  <c:v>87.272727272727309</c:v>
                </c:pt>
                <c:pt idx="16">
                  <c:v>87.272727272727309</c:v>
                </c:pt>
                <c:pt idx="17">
                  <c:v>87.272727272727309</c:v>
                </c:pt>
                <c:pt idx="18">
                  <c:v>87.272727272727309</c:v>
                </c:pt>
                <c:pt idx="19">
                  <c:v>87.272727272727309</c:v>
                </c:pt>
                <c:pt idx="20">
                  <c:v>87.272727272727309</c:v>
                </c:pt>
                <c:pt idx="21">
                  <c:v>87.272727272727309</c:v>
                </c:pt>
                <c:pt idx="22">
                  <c:v>87.272727272727309</c:v>
                </c:pt>
                <c:pt idx="23">
                  <c:v>87.272727272727309</c:v>
                </c:pt>
                <c:pt idx="24">
                  <c:v>87.272727272727309</c:v>
                </c:pt>
                <c:pt idx="25">
                  <c:v>87.272727272727309</c:v>
                </c:pt>
                <c:pt idx="26">
                  <c:v>87.272727272727309</c:v>
                </c:pt>
                <c:pt idx="27">
                  <c:v>87.272727272727309</c:v>
                </c:pt>
                <c:pt idx="28">
                  <c:v>87.272727272727309</c:v>
                </c:pt>
                <c:pt idx="29">
                  <c:v>87.272727272727309</c:v>
                </c:pt>
                <c:pt idx="30">
                  <c:v>87.272727272727309</c:v>
                </c:pt>
                <c:pt idx="31">
                  <c:v>87.272727272727309</c:v>
                </c:pt>
                <c:pt idx="32">
                  <c:v>87.272727272727309</c:v>
                </c:pt>
                <c:pt idx="33">
                  <c:v>87.272727272727309</c:v>
                </c:pt>
                <c:pt idx="34">
                  <c:v>87.272727272727309</c:v>
                </c:pt>
                <c:pt idx="35">
                  <c:v>87.272727272727309</c:v>
                </c:pt>
                <c:pt idx="36">
                  <c:v>87.272727272727309</c:v>
                </c:pt>
                <c:pt idx="37">
                  <c:v>87.272727272727309</c:v>
                </c:pt>
                <c:pt idx="38">
                  <c:v>87.272727272727309</c:v>
                </c:pt>
                <c:pt idx="39">
                  <c:v>87.272727272727309</c:v>
                </c:pt>
                <c:pt idx="40">
                  <c:v>87.272727272727309</c:v>
                </c:pt>
                <c:pt idx="41">
                  <c:v>87.272727272727309</c:v>
                </c:pt>
                <c:pt idx="42">
                  <c:v>87.272727272727309</c:v>
                </c:pt>
                <c:pt idx="43">
                  <c:v>87.272727272727309</c:v>
                </c:pt>
                <c:pt idx="44">
                  <c:v>87.272727272727309</c:v>
                </c:pt>
                <c:pt idx="45">
                  <c:v>87.272727272727309</c:v>
                </c:pt>
                <c:pt idx="46">
                  <c:v>87.272727272727309</c:v>
                </c:pt>
                <c:pt idx="47">
                  <c:v>87.272727272727309</c:v>
                </c:pt>
                <c:pt idx="48">
                  <c:v>87.272727272727309</c:v>
                </c:pt>
                <c:pt idx="49">
                  <c:v>87.272727272727309</c:v>
                </c:pt>
                <c:pt idx="50">
                  <c:v>87.272727272727309</c:v>
                </c:pt>
                <c:pt idx="51">
                  <c:v>87.272727272727309</c:v>
                </c:pt>
                <c:pt idx="52">
                  <c:v>87.272727272727309</c:v>
                </c:pt>
                <c:pt idx="53">
                  <c:v>87.272727272727309</c:v>
                </c:pt>
                <c:pt idx="54">
                  <c:v>87.272727272727309</c:v>
                </c:pt>
                <c:pt idx="55">
                  <c:v>87.272727272727309</c:v>
                </c:pt>
                <c:pt idx="56">
                  <c:v>87.272727272727309</c:v>
                </c:pt>
                <c:pt idx="57">
                  <c:v>87.272727272727309</c:v>
                </c:pt>
                <c:pt idx="58">
                  <c:v>87.272727272727309</c:v>
                </c:pt>
                <c:pt idx="59">
                  <c:v>87.272727272727309</c:v>
                </c:pt>
                <c:pt idx="60">
                  <c:v>87.272727272727309</c:v>
                </c:pt>
                <c:pt idx="61">
                  <c:v>87.272727272727309</c:v>
                </c:pt>
                <c:pt idx="62">
                  <c:v>87.272727272727309</c:v>
                </c:pt>
                <c:pt idx="63">
                  <c:v>87.272727272727309</c:v>
                </c:pt>
                <c:pt idx="64">
                  <c:v>87.272727272727309</c:v>
                </c:pt>
                <c:pt idx="65">
                  <c:v>87.272727272727309</c:v>
                </c:pt>
                <c:pt idx="66">
                  <c:v>87.272727272727309</c:v>
                </c:pt>
                <c:pt idx="67">
                  <c:v>87.272727272727309</c:v>
                </c:pt>
                <c:pt idx="68">
                  <c:v>87.272727272727309</c:v>
                </c:pt>
                <c:pt idx="69">
                  <c:v>87.272727272727309</c:v>
                </c:pt>
                <c:pt idx="70">
                  <c:v>87.272727272727309</c:v>
                </c:pt>
                <c:pt idx="71">
                  <c:v>87.272727272727309</c:v>
                </c:pt>
                <c:pt idx="72">
                  <c:v>87.272727272727309</c:v>
                </c:pt>
                <c:pt idx="73">
                  <c:v>87.272727272727309</c:v>
                </c:pt>
                <c:pt idx="74">
                  <c:v>87.272727272727309</c:v>
                </c:pt>
                <c:pt idx="75">
                  <c:v>87.272727272727309</c:v>
                </c:pt>
                <c:pt idx="76">
                  <c:v>87.272727272727309</c:v>
                </c:pt>
                <c:pt idx="77">
                  <c:v>87.272727272727309</c:v>
                </c:pt>
                <c:pt idx="78">
                  <c:v>87.272727272727309</c:v>
                </c:pt>
                <c:pt idx="79">
                  <c:v>87.272727272727309</c:v>
                </c:pt>
                <c:pt idx="80">
                  <c:v>87.272727272727309</c:v>
                </c:pt>
                <c:pt idx="81">
                  <c:v>87.272727272727309</c:v>
                </c:pt>
                <c:pt idx="82">
                  <c:v>87.272727272727309</c:v>
                </c:pt>
                <c:pt idx="83">
                  <c:v>87.272727272727309</c:v>
                </c:pt>
                <c:pt idx="84">
                  <c:v>87.272727272727309</c:v>
                </c:pt>
                <c:pt idx="85">
                  <c:v>87.272727272727309</c:v>
                </c:pt>
                <c:pt idx="86">
                  <c:v>87.272727272727309</c:v>
                </c:pt>
                <c:pt idx="87">
                  <c:v>87.272727272727309</c:v>
                </c:pt>
                <c:pt idx="88">
                  <c:v>87.272727272727309</c:v>
                </c:pt>
                <c:pt idx="89">
                  <c:v>87.272727272727309</c:v>
                </c:pt>
                <c:pt idx="90">
                  <c:v>87.272727272727309</c:v>
                </c:pt>
                <c:pt idx="91">
                  <c:v>87.272727272727309</c:v>
                </c:pt>
                <c:pt idx="92">
                  <c:v>87.272727272727309</c:v>
                </c:pt>
                <c:pt idx="93">
                  <c:v>87.272727272727309</c:v>
                </c:pt>
                <c:pt idx="94">
                  <c:v>87.272727272727309</c:v>
                </c:pt>
                <c:pt idx="95">
                  <c:v>87.272727272727309</c:v>
                </c:pt>
                <c:pt idx="96">
                  <c:v>87.272727272727309</c:v>
                </c:pt>
                <c:pt idx="97">
                  <c:v>87.272727272727309</c:v>
                </c:pt>
                <c:pt idx="98">
                  <c:v>87.272727272727309</c:v>
                </c:pt>
                <c:pt idx="99">
                  <c:v>87.272727272727309</c:v>
                </c:pt>
                <c:pt idx="100">
                  <c:v>87.272727272727309</c:v>
                </c:pt>
                <c:pt idx="101">
                  <c:v>87.272727272727309</c:v>
                </c:pt>
                <c:pt idx="102">
                  <c:v>87.272727272727309</c:v>
                </c:pt>
                <c:pt idx="103">
                  <c:v>87.272727272727309</c:v>
                </c:pt>
                <c:pt idx="104">
                  <c:v>87.272727272727309</c:v>
                </c:pt>
                <c:pt idx="105">
                  <c:v>87.272727272727309</c:v>
                </c:pt>
                <c:pt idx="106">
                  <c:v>87.272727272727309</c:v>
                </c:pt>
                <c:pt idx="107">
                  <c:v>87.272727272727309</c:v>
                </c:pt>
                <c:pt idx="108">
                  <c:v>87.272727272727309</c:v>
                </c:pt>
                <c:pt idx="109">
                  <c:v>87.272727272727309</c:v>
                </c:pt>
                <c:pt idx="110">
                  <c:v>87.272727272727309</c:v>
                </c:pt>
                <c:pt idx="111">
                  <c:v>87.272727272727309</c:v>
                </c:pt>
                <c:pt idx="112">
                  <c:v>87.272727272727309</c:v>
                </c:pt>
                <c:pt idx="113">
                  <c:v>87.272727272727309</c:v>
                </c:pt>
                <c:pt idx="114">
                  <c:v>87.272727272727309</c:v>
                </c:pt>
                <c:pt idx="115">
                  <c:v>87.272727272727309</c:v>
                </c:pt>
                <c:pt idx="116">
                  <c:v>87.272727272727309</c:v>
                </c:pt>
                <c:pt idx="117">
                  <c:v>87.272727272727309</c:v>
                </c:pt>
                <c:pt idx="118">
                  <c:v>87.272727272727309</c:v>
                </c:pt>
                <c:pt idx="119">
                  <c:v>87.272727272727309</c:v>
                </c:pt>
                <c:pt idx="120">
                  <c:v>87.272727272727309</c:v>
                </c:pt>
                <c:pt idx="121">
                  <c:v>87.272727272727309</c:v>
                </c:pt>
                <c:pt idx="122">
                  <c:v>87.272727272727309</c:v>
                </c:pt>
                <c:pt idx="123">
                  <c:v>87.272727272727309</c:v>
                </c:pt>
                <c:pt idx="124">
                  <c:v>87.272727272727309</c:v>
                </c:pt>
                <c:pt idx="125">
                  <c:v>87.272727272727309</c:v>
                </c:pt>
                <c:pt idx="126">
                  <c:v>87.272727272727309</c:v>
                </c:pt>
                <c:pt idx="127">
                  <c:v>87.272727272727309</c:v>
                </c:pt>
                <c:pt idx="128">
                  <c:v>87.272727272727309</c:v>
                </c:pt>
                <c:pt idx="129">
                  <c:v>87.272727272727309</c:v>
                </c:pt>
                <c:pt idx="130">
                  <c:v>87.272727272727309</c:v>
                </c:pt>
                <c:pt idx="131">
                  <c:v>87.272727272727309</c:v>
                </c:pt>
                <c:pt idx="132">
                  <c:v>87.272727272727309</c:v>
                </c:pt>
                <c:pt idx="133">
                  <c:v>87.272727272727309</c:v>
                </c:pt>
                <c:pt idx="134">
                  <c:v>87.272727272727309</c:v>
                </c:pt>
                <c:pt idx="135">
                  <c:v>87.272727272727309</c:v>
                </c:pt>
                <c:pt idx="136">
                  <c:v>87.272727272727309</c:v>
                </c:pt>
                <c:pt idx="137">
                  <c:v>87.272727272727309</c:v>
                </c:pt>
                <c:pt idx="138">
                  <c:v>87.272727272727309</c:v>
                </c:pt>
                <c:pt idx="139">
                  <c:v>87.272727272727309</c:v>
                </c:pt>
                <c:pt idx="140">
                  <c:v>87.272727272727309</c:v>
                </c:pt>
                <c:pt idx="141">
                  <c:v>87.272727272727309</c:v>
                </c:pt>
                <c:pt idx="142">
                  <c:v>87.272727272727309</c:v>
                </c:pt>
                <c:pt idx="143">
                  <c:v>87.272727272727309</c:v>
                </c:pt>
                <c:pt idx="144">
                  <c:v>87.272727272727309</c:v>
                </c:pt>
                <c:pt idx="145">
                  <c:v>87.272727272727309</c:v>
                </c:pt>
                <c:pt idx="146">
                  <c:v>87.272727272727309</c:v>
                </c:pt>
                <c:pt idx="147">
                  <c:v>87.272727272727309</c:v>
                </c:pt>
                <c:pt idx="148">
                  <c:v>87.272727272727309</c:v>
                </c:pt>
                <c:pt idx="149">
                  <c:v>87.272727272727309</c:v>
                </c:pt>
                <c:pt idx="150">
                  <c:v>87.272727272727309</c:v>
                </c:pt>
                <c:pt idx="151">
                  <c:v>87.272727272727309</c:v>
                </c:pt>
                <c:pt idx="152">
                  <c:v>87.272727272727309</c:v>
                </c:pt>
                <c:pt idx="153">
                  <c:v>87.272727272727309</c:v>
                </c:pt>
              </c:numCache>
            </c:numRef>
          </c:yVal>
          <c:smooth val="1"/>
          <c:extLst>
            <c:ext xmlns:c16="http://schemas.microsoft.com/office/drawing/2014/chart" uri="{C3380CC4-5D6E-409C-BE32-E72D297353CC}">
              <c16:uniqueId val="{00000003-874D-44D2-AB88-2F6DE3EF0711}"/>
            </c:ext>
          </c:extLst>
        </c:ser>
        <c:ser>
          <c:idx val="4"/>
          <c:order val="7"/>
          <c:tx>
            <c:strRef>
              <c:f>'CIN Network Design'!$AC$28</c:f>
              <c:strCache>
                <c:ptCount val="1"/>
                <c:pt idx="0">
                  <c:v>Z(TARGET, TRANSITION)</c:v>
                </c:pt>
              </c:strCache>
            </c:strRef>
          </c:tx>
          <c:spPr>
            <a:ln w="25400" cap="rnd">
              <a:solidFill>
                <a:schemeClr val="tx1"/>
              </a:solidFill>
              <a:prstDash val="sysDash"/>
              <a:round/>
            </a:ln>
            <a:effectLst/>
          </c:spPr>
          <c:marker>
            <c:symbol val="none"/>
          </c:marker>
          <c:xVal>
            <c:numRef>
              <c:f>'CIN Network Design'!$X$29:$X$182</c:f>
              <c:numCache>
                <c:formatCode>#,##0</c:formatCode>
                <c:ptCount val="154"/>
                <c:pt idx="0">
                  <c:v>1</c:v>
                </c:pt>
                <c:pt idx="1">
                  <c:v>2</c:v>
                </c:pt>
                <c:pt idx="2">
                  <c:v>3</c:v>
                </c:pt>
                <c:pt idx="3">
                  <c:v>4</c:v>
                </c:pt>
                <c:pt idx="4">
                  <c:v>5</c:v>
                </c:pt>
                <c:pt idx="5">
                  <c:v>6</c:v>
                </c:pt>
                <c:pt idx="6">
                  <c:v>7</c:v>
                </c:pt>
                <c:pt idx="7">
                  <c:v>8</c:v>
                </c:pt>
                <c:pt idx="8">
                  <c:v>9</c:v>
                </c:pt>
                <c:pt idx="9">
                  <c:v>10</c:v>
                </c:pt>
                <c:pt idx="10">
                  <c:v>15</c:v>
                </c:pt>
                <c:pt idx="11">
                  <c:v>20</c:v>
                </c:pt>
                <c:pt idx="12">
                  <c:v>25</c:v>
                </c:pt>
                <c:pt idx="13">
                  <c:v>30</c:v>
                </c:pt>
                <c:pt idx="14">
                  <c:v>35</c:v>
                </c:pt>
                <c:pt idx="15">
                  <c:v>40</c:v>
                </c:pt>
                <c:pt idx="16">
                  <c:v>45</c:v>
                </c:pt>
                <c:pt idx="17">
                  <c:v>50</c:v>
                </c:pt>
                <c:pt idx="18">
                  <c:v>55</c:v>
                </c:pt>
                <c:pt idx="19">
                  <c:v>60</c:v>
                </c:pt>
                <c:pt idx="20">
                  <c:v>65</c:v>
                </c:pt>
                <c:pt idx="21">
                  <c:v>70</c:v>
                </c:pt>
                <c:pt idx="22">
                  <c:v>75</c:v>
                </c:pt>
                <c:pt idx="23">
                  <c:v>80</c:v>
                </c:pt>
                <c:pt idx="24">
                  <c:v>85</c:v>
                </c:pt>
                <c:pt idx="25">
                  <c:v>90</c:v>
                </c:pt>
                <c:pt idx="26">
                  <c:v>95</c:v>
                </c:pt>
                <c:pt idx="27">
                  <c:v>100</c:v>
                </c:pt>
                <c:pt idx="28">
                  <c:v>150</c:v>
                </c:pt>
                <c:pt idx="29">
                  <c:v>200</c:v>
                </c:pt>
                <c:pt idx="30">
                  <c:v>250</c:v>
                </c:pt>
                <c:pt idx="31">
                  <c:v>300</c:v>
                </c:pt>
                <c:pt idx="32">
                  <c:v>350</c:v>
                </c:pt>
                <c:pt idx="33">
                  <c:v>400</c:v>
                </c:pt>
                <c:pt idx="34">
                  <c:v>450</c:v>
                </c:pt>
                <c:pt idx="35">
                  <c:v>500</c:v>
                </c:pt>
                <c:pt idx="36">
                  <c:v>550</c:v>
                </c:pt>
                <c:pt idx="37">
                  <c:v>600</c:v>
                </c:pt>
                <c:pt idx="38">
                  <c:v>650</c:v>
                </c:pt>
                <c:pt idx="39">
                  <c:v>700</c:v>
                </c:pt>
                <c:pt idx="40">
                  <c:v>750</c:v>
                </c:pt>
                <c:pt idx="41">
                  <c:v>800</c:v>
                </c:pt>
                <c:pt idx="42">
                  <c:v>850</c:v>
                </c:pt>
                <c:pt idx="43">
                  <c:v>900</c:v>
                </c:pt>
                <c:pt idx="44">
                  <c:v>950</c:v>
                </c:pt>
                <c:pt idx="45">
                  <c:v>1000</c:v>
                </c:pt>
                <c:pt idx="46">
                  <c:v>1500</c:v>
                </c:pt>
                <c:pt idx="47">
                  <c:v>2000</c:v>
                </c:pt>
                <c:pt idx="48">
                  <c:v>2500</c:v>
                </c:pt>
                <c:pt idx="49">
                  <c:v>3000</c:v>
                </c:pt>
                <c:pt idx="50">
                  <c:v>3500</c:v>
                </c:pt>
                <c:pt idx="51">
                  <c:v>4000</c:v>
                </c:pt>
                <c:pt idx="52">
                  <c:v>4500</c:v>
                </c:pt>
                <c:pt idx="53">
                  <c:v>5000</c:v>
                </c:pt>
                <c:pt idx="54">
                  <c:v>5500</c:v>
                </c:pt>
                <c:pt idx="55">
                  <c:v>6000</c:v>
                </c:pt>
                <c:pt idx="56">
                  <c:v>6500</c:v>
                </c:pt>
                <c:pt idx="57">
                  <c:v>7000</c:v>
                </c:pt>
                <c:pt idx="58">
                  <c:v>7500</c:v>
                </c:pt>
                <c:pt idx="59">
                  <c:v>8000</c:v>
                </c:pt>
                <c:pt idx="60">
                  <c:v>8500</c:v>
                </c:pt>
                <c:pt idx="61">
                  <c:v>9000</c:v>
                </c:pt>
                <c:pt idx="62">
                  <c:v>9500</c:v>
                </c:pt>
                <c:pt idx="63">
                  <c:v>10000</c:v>
                </c:pt>
                <c:pt idx="64">
                  <c:v>15000</c:v>
                </c:pt>
                <c:pt idx="65">
                  <c:v>20000</c:v>
                </c:pt>
                <c:pt idx="66">
                  <c:v>25000</c:v>
                </c:pt>
                <c:pt idx="67">
                  <c:v>30000</c:v>
                </c:pt>
                <c:pt idx="68">
                  <c:v>35000</c:v>
                </c:pt>
                <c:pt idx="69">
                  <c:v>40000</c:v>
                </c:pt>
                <c:pt idx="70">
                  <c:v>45000</c:v>
                </c:pt>
                <c:pt idx="71">
                  <c:v>50000</c:v>
                </c:pt>
                <c:pt idx="72">
                  <c:v>55000</c:v>
                </c:pt>
                <c:pt idx="73">
                  <c:v>60000</c:v>
                </c:pt>
                <c:pt idx="74">
                  <c:v>65000</c:v>
                </c:pt>
                <c:pt idx="75">
                  <c:v>70000</c:v>
                </c:pt>
                <c:pt idx="76">
                  <c:v>75000</c:v>
                </c:pt>
                <c:pt idx="77">
                  <c:v>80000</c:v>
                </c:pt>
                <c:pt idx="78">
                  <c:v>85000</c:v>
                </c:pt>
                <c:pt idx="79">
                  <c:v>90000</c:v>
                </c:pt>
                <c:pt idx="80">
                  <c:v>95000</c:v>
                </c:pt>
                <c:pt idx="81">
                  <c:v>100000</c:v>
                </c:pt>
                <c:pt idx="82">
                  <c:v>150000</c:v>
                </c:pt>
                <c:pt idx="83">
                  <c:v>200000</c:v>
                </c:pt>
                <c:pt idx="84">
                  <c:v>250000</c:v>
                </c:pt>
                <c:pt idx="85">
                  <c:v>300000</c:v>
                </c:pt>
                <c:pt idx="86">
                  <c:v>350000</c:v>
                </c:pt>
                <c:pt idx="87">
                  <c:v>400000</c:v>
                </c:pt>
                <c:pt idx="88">
                  <c:v>450000</c:v>
                </c:pt>
                <c:pt idx="89">
                  <c:v>500000</c:v>
                </c:pt>
                <c:pt idx="90">
                  <c:v>550000</c:v>
                </c:pt>
                <c:pt idx="91">
                  <c:v>600000</c:v>
                </c:pt>
                <c:pt idx="92">
                  <c:v>650000</c:v>
                </c:pt>
                <c:pt idx="93">
                  <c:v>700000</c:v>
                </c:pt>
                <c:pt idx="94">
                  <c:v>750000</c:v>
                </c:pt>
                <c:pt idx="95">
                  <c:v>800000</c:v>
                </c:pt>
                <c:pt idx="96">
                  <c:v>850000</c:v>
                </c:pt>
                <c:pt idx="97">
                  <c:v>900000</c:v>
                </c:pt>
                <c:pt idx="98">
                  <c:v>950000</c:v>
                </c:pt>
                <c:pt idx="99">
                  <c:v>1000000</c:v>
                </c:pt>
                <c:pt idx="100">
                  <c:v>1500000</c:v>
                </c:pt>
                <c:pt idx="101">
                  <c:v>2000000</c:v>
                </c:pt>
                <c:pt idx="102">
                  <c:v>2500000</c:v>
                </c:pt>
                <c:pt idx="103">
                  <c:v>3000000</c:v>
                </c:pt>
                <c:pt idx="104">
                  <c:v>3500000</c:v>
                </c:pt>
                <c:pt idx="105">
                  <c:v>4000000</c:v>
                </c:pt>
                <c:pt idx="106">
                  <c:v>4500000</c:v>
                </c:pt>
                <c:pt idx="107">
                  <c:v>5000000</c:v>
                </c:pt>
                <c:pt idx="108">
                  <c:v>5500000</c:v>
                </c:pt>
                <c:pt idx="109">
                  <c:v>6000000</c:v>
                </c:pt>
                <c:pt idx="110">
                  <c:v>6500000</c:v>
                </c:pt>
                <c:pt idx="111">
                  <c:v>7000000</c:v>
                </c:pt>
                <c:pt idx="112">
                  <c:v>7500000</c:v>
                </c:pt>
                <c:pt idx="113">
                  <c:v>8000000</c:v>
                </c:pt>
                <c:pt idx="114">
                  <c:v>8500000</c:v>
                </c:pt>
                <c:pt idx="115">
                  <c:v>9000000</c:v>
                </c:pt>
                <c:pt idx="116">
                  <c:v>9500000</c:v>
                </c:pt>
                <c:pt idx="117">
                  <c:v>10000000</c:v>
                </c:pt>
                <c:pt idx="118">
                  <c:v>15000000</c:v>
                </c:pt>
                <c:pt idx="119">
                  <c:v>20000000</c:v>
                </c:pt>
                <c:pt idx="120">
                  <c:v>25000000</c:v>
                </c:pt>
                <c:pt idx="121">
                  <c:v>30000000</c:v>
                </c:pt>
                <c:pt idx="122">
                  <c:v>35000000</c:v>
                </c:pt>
                <c:pt idx="123">
                  <c:v>40000000</c:v>
                </c:pt>
                <c:pt idx="124">
                  <c:v>45000000</c:v>
                </c:pt>
                <c:pt idx="125">
                  <c:v>50000000</c:v>
                </c:pt>
                <c:pt idx="126">
                  <c:v>55000000</c:v>
                </c:pt>
                <c:pt idx="127">
                  <c:v>60000000</c:v>
                </c:pt>
                <c:pt idx="128">
                  <c:v>65000000</c:v>
                </c:pt>
                <c:pt idx="129">
                  <c:v>70000000</c:v>
                </c:pt>
                <c:pt idx="130">
                  <c:v>75000000</c:v>
                </c:pt>
                <c:pt idx="131">
                  <c:v>80000000</c:v>
                </c:pt>
                <c:pt idx="132">
                  <c:v>85000000</c:v>
                </c:pt>
                <c:pt idx="133">
                  <c:v>90000000</c:v>
                </c:pt>
                <c:pt idx="134">
                  <c:v>95000000</c:v>
                </c:pt>
                <c:pt idx="135">
                  <c:v>100000000</c:v>
                </c:pt>
                <c:pt idx="136">
                  <c:v>150000000</c:v>
                </c:pt>
                <c:pt idx="137">
                  <c:v>200000000</c:v>
                </c:pt>
                <c:pt idx="138">
                  <c:v>250000000</c:v>
                </c:pt>
                <c:pt idx="139">
                  <c:v>300000000</c:v>
                </c:pt>
                <c:pt idx="140">
                  <c:v>350000000</c:v>
                </c:pt>
                <c:pt idx="141">
                  <c:v>400000000</c:v>
                </c:pt>
                <c:pt idx="142">
                  <c:v>450000000</c:v>
                </c:pt>
                <c:pt idx="143">
                  <c:v>500000000</c:v>
                </c:pt>
                <c:pt idx="144">
                  <c:v>550000000</c:v>
                </c:pt>
                <c:pt idx="145">
                  <c:v>600000000</c:v>
                </c:pt>
                <c:pt idx="146">
                  <c:v>650000000</c:v>
                </c:pt>
                <c:pt idx="147">
                  <c:v>700000000</c:v>
                </c:pt>
                <c:pt idx="148">
                  <c:v>750000000</c:v>
                </c:pt>
                <c:pt idx="149">
                  <c:v>800000000</c:v>
                </c:pt>
                <c:pt idx="150">
                  <c:v>850000000</c:v>
                </c:pt>
                <c:pt idx="151">
                  <c:v>900000000</c:v>
                </c:pt>
                <c:pt idx="152">
                  <c:v>950000000</c:v>
                </c:pt>
                <c:pt idx="153">
                  <c:v>1000000000</c:v>
                </c:pt>
              </c:numCache>
            </c:numRef>
          </c:xVal>
          <c:yVal>
            <c:numRef>
              <c:f>'CIN Network Design'!$AC$29:$AC$182</c:f>
              <c:numCache>
                <c:formatCode>0.00</c:formatCode>
                <c:ptCount val="154"/>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pt idx="28">
                  <c:v>4</c:v>
                </c:pt>
                <c:pt idx="29">
                  <c:v>4</c:v>
                </c:pt>
                <c:pt idx="30">
                  <c:v>4</c:v>
                </c:pt>
                <c:pt idx="31">
                  <c:v>4</c:v>
                </c:pt>
                <c:pt idx="32">
                  <c:v>4</c:v>
                </c:pt>
                <c:pt idx="33">
                  <c:v>4</c:v>
                </c:pt>
                <c:pt idx="34">
                  <c:v>4</c:v>
                </c:pt>
                <c:pt idx="35">
                  <c:v>4</c:v>
                </c:pt>
                <c:pt idx="36">
                  <c:v>4</c:v>
                </c:pt>
                <c:pt idx="37">
                  <c:v>4</c:v>
                </c:pt>
                <c:pt idx="38">
                  <c:v>4</c:v>
                </c:pt>
                <c:pt idx="39">
                  <c:v>4</c:v>
                </c:pt>
                <c:pt idx="40">
                  <c:v>4</c:v>
                </c:pt>
                <c:pt idx="41">
                  <c:v>4</c:v>
                </c:pt>
                <c:pt idx="42">
                  <c:v>4</c:v>
                </c:pt>
                <c:pt idx="43">
                  <c:v>4</c:v>
                </c:pt>
                <c:pt idx="44">
                  <c:v>4</c:v>
                </c:pt>
                <c:pt idx="45">
                  <c:v>4</c:v>
                </c:pt>
                <c:pt idx="46">
                  <c:v>4</c:v>
                </c:pt>
                <c:pt idx="47">
                  <c:v>4</c:v>
                </c:pt>
                <c:pt idx="48">
                  <c:v>4</c:v>
                </c:pt>
                <c:pt idx="49">
                  <c:v>4</c:v>
                </c:pt>
                <c:pt idx="50">
                  <c:v>4</c:v>
                </c:pt>
                <c:pt idx="51">
                  <c:v>4</c:v>
                </c:pt>
                <c:pt idx="52">
                  <c:v>4</c:v>
                </c:pt>
                <c:pt idx="53">
                  <c:v>4</c:v>
                </c:pt>
                <c:pt idx="54">
                  <c:v>4</c:v>
                </c:pt>
                <c:pt idx="55">
                  <c:v>4</c:v>
                </c:pt>
                <c:pt idx="56">
                  <c:v>4</c:v>
                </c:pt>
                <c:pt idx="57">
                  <c:v>4</c:v>
                </c:pt>
                <c:pt idx="58">
                  <c:v>4</c:v>
                </c:pt>
                <c:pt idx="59">
                  <c:v>4</c:v>
                </c:pt>
                <c:pt idx="60">
                  <c:v>4</c:v>
                </c:pt>
                <c:pt idx="61">
                  <c:v>4</c:v>
                </c:pt>
                <c:pt idx="62">
                  <c:v>4</c:v>
                </c:pt>
                <c:pt idx="63">
                  <c:v>4</c:v>
                </c:pt>
                <c:pt idx="64">
                  <c:v>4</c:v>
                </c:pt>
                <c:pt idx="65">
                  <c:v>4</c:v>
                </c:pt>
                <c:pt idx="66">
                  <c:v>4</c:v>
                </c:pt>
                <c:pt idx="67">
                  <c:v>4</c:v>
                </c:pt>
                <c:pt idx="68">
                  <c:v>4</c:v>
                </c:pt>
                <c:pt idx="69">
                  <c:v>4</c:v>
                </c:pt>
                <c:pt idx="70">
                  <c:v>4</c:v>
                </c:pt>
                <c:pt idx="71">
                  <c:v>4</c:v>
                </c:pt>
                <c:pt idx="72">
                  <c:v>4</c:v>
                </c:pt>
                <c:pt idx="73">
                  <c:v>4</c:v>
                </c:pt>
                <c:pt idx="74">
                  <c:v>4</c:v>
                </c:pt>
                <c:pt idx="75">
                  <c:v>4</c:v>
                </c:pt>
                <c:pt idx="76">
                  <c:v>4</c:v>
                </c:pt>
                <c:pt idx="77">
                  <c:v>4</c:v>
                </c:pt>
                <c:pt idx="78">
                  <c:v>4</c:v>
                </c:pt>
                <c:pt idx="79">
                  <c:v>4</c:v>
                </c:pt>
                <c:pt idx="80">
                  <c:v>4</c:v>
                </c:pt>
                <c:pt idx="81">
                  <c:v>4</c:v>
                </c:pt>
                <c:pt idx="82">
                  <c:v>4</c:v>
                </c:pt>
                <c:pt idx="83">
                  <c:v>4</c:v>
                </c:pt>
                <c:pt idx="84">
                  <c:v>4</c:v>
                </c:pt>
                <c:pt idx="85">
                  <c:v>4</c:v>
                </c:pt>
                <c:pt idx="86">
                  <c:v>4</c:v>
                </c:pt>
                <c:pt idx="87">
                  <c:v>4</c:v>
                </c:pt>
                <c:pt idx="88">
                  <c:v>4</c:v>
                </c:pt>
                <c:pt idx="89">
                  <c:v>4</c:v>
                </c:pt>
                <c:pt idx="90">
                  <c:v>4</c:v>
                </c:pt>
                <c:pt idx="91">
                  <c:v>4</c:v>
                </c:pt>
                <c:pt idx="92">
                  <c:v>4</c:v>
                </c:pt>
                <c:pt idx="93">
                  <c:v>4</c:v>
                </c:pt>
                <c:pt idx="94">
                  <c:v>4</c:v>
                </c:pt>
                <c:pt idx="95">
                  <c:v>4</c:v>
                </c:pt>
                <c:pt idx="96">
                  <c:v>4</c:v>
                </c:pt>
                <c:pt idx="97">
                  <c:v>4</c:v>
                </c:pt>
                <c:pt idx="98">
                  <c:v>4</c:v>
                </c:pt>
                <c:pt idx="99">
                  <c:v>4</c:v>
                </c:pt>
                <c:pt idx="100">
                  <c:v>4</c:v>
                </c:pt>
                <c:pt idx="101">
                  <c:v>4</c:v>
                </c:pt>
                <c:pt idx="102">
                  <c:v>4</c:v>
                </c:pt>
                <c:pt idx="103">
                  <c:v>4</c:v>
                </c:pt>
                <c:pt idx="104">
                  <c:v>4</c:v>
                </c:pt>
                <c:pt idx="105">
                  <c:v>4</c:v>
                </c:pt>
                <c:pt idx="106">
                  <c:v>4</c:v>
                </c:pt>
                <c:pt idx="107">
                  <c:v>4</c:v>
                </c:pt>
                <c:pt idx="108">
                  <c:v>4</c:v>
                </c:pt>
                <c:pt idx="109">
                  <c:v>4</c:v>
                </c:pt>
                <c:pt idx="110">
                  <c:v>4</c:v>
                </c:pt>
                <c:pt idx="111">
                  <c:v>4</c:v>
                </c:pt>
                <c:pt idx="112">
                  <c:v>4</c:v>
                </c:pt>
                <c:pt idx="113">
                  <c:v>4</c:v>
                </c:pt>
                <c:pt idx="114">
                  <c:v>4</c:v>
                </c:pt>
                <c:pt idx="115">
                  <c:v>4</c:v>
                </c:pt>
                <c:pt idx="116">
                  <c:v>4</c:v>
                </c:pt>
                <c:pt idx="117">
                  <c:v>4</c:v>
                </c:pt>
                <c:pt idx="118">
                  <c:v>4</c:v>
                </c:pt>
                <c:pt idx="119">
                  <c:v>4</c:v>
                </c:pt>
                <c:pt idx="120">
                  <c:v>4</c:v>
                </c:pt>
                <c:pt idx="121">
                  <c:v>4</c:v>
                </c:pt>
                <c:pt idx="122">
                  <c:v>4</c:v>
                </c:pt>
                <c:pt idx="123">
                  <c:v>4</c:v>
                </c:pt>
                <c:pt idx="124">
                  <c:v>4</c:v>
                </c:pt>
                <c:pt idx="125">
                  <c:v>4</c:v>
                </c:pt>
                <c:pt idx="126">
                  <c:v>4</c:v>
                </c:pt>
                <c:pt idx="127">
                  <c:v>4</c:v>
                </c:pt>
                <c:pt idx="128">
                  <c:v>4</c:v>
                </c:pt>
                <c:pt idx="129">
                  <c:v>4</c:v>
                </c:pt>
                <c:pt idx="130">
                  <c:v>4</c:v>
                </c:pt>
                <c:pt idx="131">
                  <c:v>4</c:v>
                </c:pt>
                <c:pt idx="132">
                  <c:v>4</c:v>
                </c:pt>
                <c:pt idx="133">
                  <c:v>4</c:v>
                </c:pt>
                <c:pt idx="134">
                  <c:v>4</c:v>
                </c:pt>
                <c:pt idx="135">
                  <c:v>4</c:v>
                </c:pt>
                <c:pt idx="136">
                  <c:v>4</c:v>
                </c:pt>
                <c:pt idx="137">
                  <c:v>4</c:v>
                </c:pt>
                <c:pt idx="138">
                  <c:v>4</c:v>
                </c:pt>
                <c:pt idx="139">
                  <c:v>4</c:v>
                </c:pt>
                <c:pt idx="140">
                  <c:v>4</c:v>
                </c:pt>
                <c:pt idx="141">
                  <c:v>4</c:v>
                </c:pt>
                <c:pt idx="142">
                  <c:v>4</c:v>
                </c:pt>
                <c:pt idx="143">
                  <c:v>4</c:v>
                </c:pt>
                <c:pt idx="144">
                  <c:v>4</c:v>
                </c:pt>
                <c:pt idx="145">
                  <c:v>4</c:v>
                </c:pt>
                <c:pt idx="146">
                  <c:v>4</c:v>
                </c:pt>
                <c:pt idx="147">
                  <c:v>4</c:v>
                </c:pt>
                <c:pt idx="148">
                  <c:v>4</c:v>
                </c:pt>
                <c:pt idx="149">
                  <c:v>4</c:v>
                </c:pt>
                <c:pt idx="150">
                  <c:v>4</c:v>
                </c:pt>
                <c:pt idx="151">
                  <c:v>4</c:v>
                </c:pt>
                <c:pt idx="152">
                  <c:v>4</c:v>
                </c:pt>
                <c:pt idx="153">
                  <c:v>4</c:v>
                </c:pt>
              </c:numCache>
            </c:numRef>
          </c:yVal>
          <c:smooth val="1"/>
          <c:extLst>
            <c:ext xmlns:c16="http://schemas.microsoft.com/office/drawing/2014/chart" uri="{C3380CC4-5D6E-409C-BE32-E72D297353CC}">
              <c16:uniqueId val="{00000004-874D-44D2-AB88-2F6DE3EF0711}"/>
            </c:ext>
          </c:extLst>
        </c:ser>
        <c:ser>
          <c:idx val="8"/>
          <c:order val="8"/>
          <c:tx>
            <c:strRef>
              <c:f>'CIN Network Design'!$AT$31</c:f>
              <c:strCache>
                <c:ptCount val="1"/>
                <c:pt idx="0">
                  <c:v>fSW</c:v>
                </c:pt>
              </c:strCache>
            </c:strRef>
          </c:tx>
          <c:spPr>
            <a:ln w="25400" cap="rnd">
              <a:solidFill>
                <a:srgbClr val="00B0F0"/>
              </a:solidFill>
              <a:prstDash val="sysDash"/>
              <a:round/>
            </a:ln>
            <a:effectLst/>
          </c:spPr>
          <c:marker>
            <c:symbol val="none"/>
          </c:marker>
          <c:trendline>
            <c:spPr>
              <a:ln w="19050" cap="rnd">
                <a:solidFill>
                  <a:schemeClr val="accent3">
                    <a:lumMod val="60000"/>
                  </a:schemeClr>
                </a:solidFill>
                <a:prstDash val="sysDot"/>
              </a:ln>
              <a:effectLst/>
            </c:spPr>
            <c:trendlineType val="linear"/>
            <c:dispRSqr val="0"/>
            <c:dispEq val="0"/>
          </c:trendline>
          <c:trendline>
            <c:spPr>
              <a:ln w="19050" cap="rnd">
                <a:solidFill>
                  <a:schemeClr val="accent3">
                    <a:lumMod val="60000"/>
                  </a:schemeClr>
                </a:solidFill>
                <a:prstDash val="sysDot"/>
              </a:ln>
              <a:effectLst/>
            </c:spPr>
            <c:trendlineType val="linear"/>
            <c:dispRSqr val="0"/>
            <c:dispEq val="0"/>
          </c:trendline>
          <c:errBars>
            <c:errDir val="y"/>
            <c:errBarType val="both"/>
            <c:errValType val="fixedVal"/>
            <c:noEndCap val="0"/>
            <c:val val="1000000"/>
            <c:spPr>
              <a:noFill/>
              <a:ln w="25400" cap="flat" cmpd="sng" algn="ctr">
                <a:solidFill>
                  <a:srgbClr val="00B0F0"/>
                </a:solidFill>
                <a:prstDash val="sysDash"/>
                <a:round/>
              </a:ln>
              <a:effectLst/>
            </c:spPr>
          </c:errBars>
          <c:errBars>
            <c:errDir val="x"/>
            <c:errBarType val="both"/>
            <c:errValType val="fixedVal"/>
            <c:noEndCap val="0"/>
            <c:val val="1"/>
            <c:spPr>
              <a:noFill/>
              <a:ln w="9525" cap="flat" cmpd="sng" algn="ctr">
                <a:solidFill>
                  <a:schemeClr val="tx1">
                    <a:lumMod val="65000"/>
                    <a:lumOff val="35000"/>
                  </a:schemeClr>
                </a:solidFill>
                <a:round/>
              </a:ln>
              <a:effectLst/>
            </c:spPr>
          </c:errBars>
          <c:xVal>
            <c:numRef>
              <c:f>'CIN Network Design'!$AT$32</c:f>
              <c:numCache>
                <c:formatCode>General</c:formatCode>
                <c:ptCount val="1"/>
                <c:pt idx="0">
                  <c:v>500000</c:v>
                </c:pt>
              </c:numCache>
            </c:numRef>
          </c:xVal>
          <c:yVal>
            <c:numRef>
              <c:f>'CIN Network Design'!$AU$32</c:f>
              <c:numCache>
                <c:formatCode>General</c:formatCode>
                <c:ptCount val="1"/>
                <c:pt idx="0">
                  <c:v>1E-4</c:v>
                </c:pt>
              </c:numCache>
            </c:numRef>
          </c:yVal>
          <c:smooth val="1"/>
          <c:extLst>
            <c:ext xmlns:c16="http://schemas.microsoft.com/office/drawing/2014/chart" uri="{C3380CC4-5D6E-409C-BE32-E72D297353CC}">
              <c16:uniqueId val="{00000008-874D-44D2-AB88-2F6DE3EF0711}"/>
            </c:ext>
          </c:extLst>
        </c:ser>
        <c:ser>
          <c:idx val="9"/>
          <c:order val="9"/>
          <c:tx>
            <c:strRef>
              <c:f>'CIN Network Design'!$AT$28</c:f>
              <c:strCache>
                <c:ptCount val="1"/>
                <c:pt idx="0">
                  <c:v>fSTEP</c:v>
                </c:pt>
              </c:strCache>
            </c:strRef>
          </c:tx>
          <c:spPr>
            <a:ln w="25400" cap="rnd">
              <a:solidFill>
                <a:srgbClr val="00B050"/>
              </a:solidFill>
              <a:prstDash val="sysDash"/>
              <a:round/>
            </a:ln>
            <a:effectLst/>
          </c:spPr>
          <c:marker>
            <c:symbol val="none"/>
          </c:marker>
          <c:errBars>
            <c:errDir val="y"/>
            <c:errBarType val="both"/>
            <c:errValType val="fixedVal"/>
            <c:noEndCap val="0"/>
            <c:val val="1000000"/>
            <c:spPr>
              <a:noFill/>
              <a:ln w="25400" cap="flat" cmpd="sng" algn="ctr">
                <a:solidFill>
                  <a:srgbClr val="00B050"/>
                </a:solidFill>
                <a:prstDash val="sysDash"/>
                <a:round/>
              </a:ln>
              <a:effectLst/>
            </c:spPr>
          </c:errBars>
          <c:errBars>
            <c:errDir val="x"/>
            <c:errBarType val="both"/>
            <c:errValType val="fixedVal"/>
            <c:noEndCap val="0"/>
            <c:val val="1"/>
            <c:spPr>
              <a:noFill/>
              <a:ln w="9525" cap="flat" cmpd="sng" algn="ctr">
                <a:solidFill>
                  <a:schemeClr val="tx1">
                    <a:lumMod val="65000"/>
                    <a:lumOff val="35000"/>
                  </a:schemeClr>
                </a:solidFill>
                <a:round/>
              </a:ln>
              <a:effectLst/>
            </c:spPr>
          </c:errBars>
          <c:xVal>
            <c:numRef>
              <c:f>'CIN Network Design'!$AT$29</c:f>
              <c:numCache>
                <c:formatCode>0.00</c:formatCode>
                <c:ptCount val="1"/>
                <c:pt idx="0">
                  <c:v>277797.71885130822</c:v>
                </c:pt>
              </c:numCache>
            </c:numRef>
          </c:xVal>
          <c:yVal>
            <c:numRef>
              <c:f>'CIN Network Design'!$AU$29</c:f>
              <c:numCache>
                <c:formatCode>General</c:formatCode>
                <c:ptCount val="1"/>
                <c:pt idx="0">
                  <c:v>1E-4</c:v>
                </c:pt>
              </c:numCache>
            </c:numRef>
          </c:yVal>
          <c:smooth val="1"/>
          <c:extLst>
            <c:ext xmlns:c16="http://schemas.microsoft.com/office/drawing/2014/chart" uri="{C3380CC4-5D6E-409C-BE32-E72D297353CC}">
              <c16:uniqueId val="{0000000B-874D-44D2-AB88-2F6DE3EF0711}"/>
            </c:ext>
          </c:extLst>
        </c:ser>
        <c:ser>
          <c:idx val="10"/>
          <c:order val="10"/>
          <c:tx>
            <c:strRef>
              <c:f>'CIN Network Design'!$AT$34</c:f>
              <c:strCache>
                <c:ptCount val="1"/>
                <c:pt idx="0">
                  <c:v>fTRANSITION</c:v>
                </c:pt>
              </c:strCache>
            </c:strRef>
          </c:tx>
          <c:spPr>
            <a:ln w="25400" cap="rnd">
              <a:solidFill>
                <a:schemeClr val="tx1"/>
              </a:solidFill>
              <a:prstDash val="sysDash"/>
              <a:round/>
            </a:ln>
            <a:effectLst/>
          </c:spPr>
          <c:marker>
            <c:symbol val="none"/>
          </c:marker>
          <c:errBars>
            <c:errDir val="y"/>
            <c:errBarType val="both"/>
            <c:errValType val="fixedVal"/>
            <c:noEndCap val="0"/>
            <c:val val="1000000"/>
            <c:spPr>
              <a:noFill/>
              <a:ln w="25400" cap="flat" cmpd="sng" algn="ctr">
                <a:solidFill>
                  <a:schemeClr val="tx1"/>
                </a:solidFill>
                <a:prstDash val="sysDash"/>
                <a:round/>
              </a:ln>
              <a:effectLst/>
            </c:spPr>
          </c:errBars>
          <c:errBars>
            <c:errDir val="x"/>
            <c:errBarType val="both"/>
            <c:errValType val="fixedVal"/>
            <c:noEndCap val="0"/>
            <c:val val="1"/>
            <c:spPr>
              <a:noFill/>
              <a:ln w="9525" cap="flat" cmpd="sng" algn="ctr">
                <a:solidFill>
                  <a:schemeClr val="tx1">
                    <a:lumMod val="65000"/>
                    <a:lumOff val="35000"/>
                  </a:schemeClr>
                </a:solidFill>
                <a:round/>
              </a:ln>
              <a:effectLst/>
            </c:spPr>
          </c:errBars>
          <c:xVal>
            <c:numRef>
              <c:f>'CIN Network Design'!$AT$35</c:f>
              <c:numCache>
                <c:formatCode>0.0</c:formatCode>
                <c:ptCount val="1"/>
                <c:pt idx="0">
                  <c:v>34999999.999999993</c:v>
                </c:pt>
              </c:numCache>
            </c:numRef>
          </c:xVal>
          <c:yVal>
            <c:numRef>
              <c:f>'CIN Network Design'!$AU$35</c:f>
              <c:numCache>
                <c:formatCode>General</c:formatCode>
                <c:ptCount val="1"/>
                <c:pt idx="0">
                  <c:v>1E-4</c:v>
                </c:pt>
              </c:numCache>
            </c:numRef>
          </c:yVal>
          <c:smooth val="1"/>
          <c:extLst>
            <c:ext xmlns:c16="http://schemas.microsoft.com/office/drawing/2014/chart" uri="{C3380CC4-5D6E-409C-BE32-E72D297353CC}">
              <c16:uniqueId val="{0000000C-874D-44D2-AB88-2F6DE3EF0711}"/>
            </c:ext>
          </c:extLst>
        </c:ser>
        <c:dLbls>
          <c:showLegendKey val="0"/>
          <c:showVal val="0"/>
          <c:showCatName val="0"/>
          <c:showSerName val="0"/>
          <c:showPercent val="0"/>
          <c:showBubbleSize val="0"/>
        </c:dLbls>
        <c:axId val="662084024"/>
        <c:axId val="662086904"/>
      </c:scatterChart>
      <c:valAx>
        <c:axId val="662084024"/>
        <c:scaling>
          <c:logBase val="10"/>
          <c:orientation val="minMax"/>
          <c:min val="100"/>
        </c:scaling>
        <c:delete val="0"/>
        <c:axPos val="b"/>
        <c:majorGridlines>
          <c:spPr>
            <a:ln w="1270" cap="flat" cmpd="sng" algn="ctr">
              <a:solidFill>
                <a:srgbClr val="000000"/>
              </a:solidFill>
              <a:prstDash val="solid"/>
              <a:round/>
            </a:ln>
            <a:effectLst/>
          </c:spPr>
        </c:majorGridlines>
        <c:minorGridlines>
          <c:spPr>
            <a:ln w="1270" cap="flat" cmpd="sng" algn="ctr">
              <a:solidFill>
                <a:schemeClr val="bg1">
                  <a:lumMod val="75000"/>
                </a:schemeClr>
              </a:solidFill>
              <a:prstDash val="solid"/>
              <a:round/>
            </a:ln>
            <a:effectLst/>
          </c:spPr>
        </c:minorGridlines>
        <c:title>
          <c:tx>
            <c:rich>
              <a:bodyPr rot="0" spcFirstLastPara="1" vertOverflow="ellipsis" vert="horz" wrap="square" anchor="ctr" anchorCtr="1"/>
              <a:lstStyle/>
              <a:p>
                <a:pPr>
                  <a:defRPr sz="1200" b="1" i="0" u="none" strike="noStrike" kern="1200" baseline="0">
                    <a:solidFill>
                      <a:srgbClr val="000000"/>
                    </a:solidFill>
                    <a:latin typeface="Arial"/>
                    <a:ea typeface="Arial"/>
                    <a:cs typeface="Arial"/>
                  </a:defRPr>
                </a:pPr>
                <a:r>
                  <a:rPr lang="en-US" sz="1200" b="1"/>
                  <a:t>Frequency (Hz)</a:t>
                </a:r>
              </a:p>
            </c:rich>
          </c:tx>
          <c:overlay val="0"/>
          <c:spPr>
            <a:noFill/>
            <a:ln>
              <a:noFill/>
            </a:ln>
            <a:effectLst/>
          </c:spPr>
          <c:txPr>
            <a:bodyPr rot="0" spcFirstLastPara="1" vertOverflow="ellipsis" vert="horz" wrap="square" anchor="ctr" anchorCtr="1"/>
            <a:lstStyle/>
            <a:p>
              <a:pPr>
                <a:defRPr sz="1200" b="1" i="0" u="none" strike="noStrike" kern="1200" baseline="0">
                  <a:solidFill>
                    <a:srgbClr val="000000"/>
                  </a:solidFill>
                  <a:latin typeface="Arial"/>
                  <a:ea typeface="Arial"/>
                  <a:cs typeface="Arial"/>
                </a:defRPr>
              </a:pPr>
              <a:endParaRPr lang="en-US"/>
            </a:p>
          </c:txPr>
        </c:title>
        <c:numFmt formatCode="[&gt;999999]0,,&quot;M&quot;;[&gt;999]#,##0,&quot;K&quot;;General" sourceLinked="0"/>
        <c:majorTickMark val="in"/>
        <c:minorTickMark val="none"/>
        <c:tickLblPos val="nextTo"/>
        <c:spPr>
          <a:noFill/>
          <a:ln w="1270" cap="flat" cmpd="sng" algn="ctr">
            <a:solidFill>
              <a:srgbClr val="000000"/>
            </a:solidFill>
            <a:prstDash val="solid"/>
            <a:round/>
          </a:ln>
          <a:effectLst/>
        </c:spPr>
        <c:txPr>
          <a:bodyPr rot="-60000000" spcFirstLastPara="1" vertOverflow="ellipsis" vert="horz" wrap="square" anchor="ctr" anchorCtr="1"/>
          <a:lstStyle/>
          <a:p>
            <a:pPr>
              <a:defRPr sz="1000" b="0" i="0" u="none" strike="noStrike" kern="1200" baseline="0">
                <a:solidFill>
                  <a:srgbClr val="000000"/>
                </a:solidFill>
                <a:latin typeface="Arial"/>
                <a:ea typeface="Arial"/>
                <a:cs typeface="Arial"/>
              </a:defRPr>
            </a:pPr>
            <a:endParaRPr lang="en-US"/>
          </a:p>
        </c:txPr>
        <c:crossAx val="662086904"/>
        <c:crossesAt val="1.0000000000000002E-3"/>
        <c:crossBetween val="midCat"/>
      </c:valAx>
      <c:valAx>
        <c:axId val="662086904"/>
        <c:scaling>
          <c:logBase val="10"/>
          <c:orientation val="minMax"/>
          <c:max val="1000"/>
          <c:min val="1.0000000000000002E-2"/>
        </c:scaling>
        <c:delete val="0"/>
        <c:axPos val="l"/>
        <c:majorGridlines>
          <c:spPr>
            <a:ln w="1270" cap="flat" cmpd="sng" algn="ctr">
              <a:solidFill>
                <a:srgbClr val="000000"/>
              </a:solidFill>
              <a:prstDash val="solid"/>
              <a:round/>
            </a:ln>
            <a:effectLst/>
          </c:spPr>
        </c:majorGridlines>
        <c:minorGridlines>
          <c:spPr>
            <a:ln w="1270" cap="flat" cmpd="sng" algn="ctr">
              <a:solidFill>
                <a:schemeClr val="bg1">
                  <a:lumMod val="75000"/>
                </a:schemeClr>
              </a:solidFill>
              <a:prstDash val="solid"/>
              <a:round/>
            </a:ln>
            <a:effectLst/>
          </c:spPr>
        </c:minorGridlines>
        <c:title>
          <c:tx>
            <c:rich>
              <a:bodyPr rot="-5400000" spcFirstLastPara="1" vertOverflow="ellipsis" vert="horz" wrap="square" anchor="ctr" anchorCtr="1"/>
              <a:lstStyle/>
              <a:p>
                <a:pPr>
                  <a:defRPr sz="1200" b="1" i="0" u="none" strike="noStrike" kern="1200" baseline="0">
                    <a:solidFill>
                      <a:srgbClr val="000000"/>
                    </a:solidFill>
                    <a:latin typeface="Arial"/>
                    <a:ea typeface="Arial"/>
                    <a:cs typeface="Arial"/>
                  </a:defRPr>
                </a:pPr>
                <a:r>
                  <a:rPr lang="en-US" sz="1200" b="1"/>
                  <a:t>Input Impedance per phase (m</a:t>
                </a:r>
                <a:r>
                  <a:rPr lang="el-GR" sz="1200" b="1"/>
                  <a:t>Ω)</a:t>
                </a:r>
              </a:p>
            </c:rich>
          </c:tx>
          <c:overlay val="0"/>
          <c:spPr>
            <a:noFill/>
            <a:ln>
              <a:noFill/>
            </a:ln>
            <a:effectLst/>
          </c:spPr>
          <c:txPr>
            <a:bodyPr rot="-5400000" spcFirstLastPara="1" vertOverflow="ellipsis" vert="horz" wrap="square" anchor="ctr" anchorCtr="1"/>
            <a:lstStyle/>
            <a:p>
              <a:pPr>
                <a:defRPr sz="1200" b="1" i="0" u="none" strike="noStrike" kern="1200" baseline="0">
                  <a:solidFill>
                    <a:srgbClr val="000000"/>
                  </a:solidFill>
                  <a:latin typeface="Arial"/>
                  <a:ea typeface="Arial"/>
                  <a:cs typeface="Arial"/>
                </a:defRPr>
              </a:pPr>
              <a:endParaRPr lang="en-US"/>
            </a:p>
          </c:txPr>
        </c:title>
        <c:numFmt formatCode="[&lt;1]0.###;[&gt;0.1]###,###;" sourceLinked="0"/>
        <c:majorTickMark val="in"/>
        <c:minorTickMark val="none"/>
        <c:tickLblPos val="nextTo"/>
        <c:spPr>
          <a:noFill/>
          <a:ln w="1270" cap="flat" cmpd="sng" algn="ctr">
            <a:solidFill>
              <a:srgbClr val="000000"/>
            </a:solidFill>
            <a:prstDash val="solid"/>
            <a:round/>
          </a:ln>
          <a:effectLst/>
        </c:spPr>
        <c:txPr>
          <a:bodyPr rot="-60000000" spcFirstLastPara="1" vertOverflow="ellipsis" vert="horz" wrap="square" anchor="ctr" anchorCtr="1"/>
          <a:lstStyle/>
          <a:p>
            <a:pPr>
              <a:defRPr sz="1000" b="0" i="0" u="none" strike="noStrike" kern="1200" baseline="0">
                <a:solidFill>
                  <a:srgbClr val="000000"/>
                </a:solidFill>
                <a:latin typeface="Arial"/>
                <a:ea typeface="Arial"/>
                <a:cs typeface="Arial"/>
              </a:defRPr>
            </a:pPr>
            <a:endParaRPr lang="en-US"/>
          </a:p>
        </c:txPr>
        <c:crossAx val="662084024"/>
        <c:crosses val="autoZero"/>
        <c:crossBetween val="midCat"/>
      </c:valAx>
      <c:spPr>
        <a:solidFill>
          <a:srgbClr val="FFFFFF"/>
        </a:solidFill>
        <a:ln w="1270">
          <a:solidFill>
            <a:srgbClr val="000000"/>
          </a:solidFill>
          <a:prstDash val="solid"/>
        </a:ln>
        <a:effectLst/>
      </c:spPr>
    </c:plotArea>
    <c:legend>
      <c:legendPos val="r"/>
      <c:legendEntry>
        <c:idx val="11"/>
        <c:delete val="1"/>
      </c:legendEntry>
      <c:legendEntry>
        <c:idx val="12"/>
        <c:delete val="1"/>
      </c:legendEntry>
      <c:overlay val="0"/>
      <c:spPr>
        <a:solidFill>
          <a:srgbClr val="FFFFFF"/>
        </a:solidFill>
        <a:ln w="3175">
          <a:solidFill>
            <a:srgbClr val="000000"/>
          </a:solidFill>
          <a:prstDash val="solid"/>
        </a:ln>
        <a:effectLst/>
      </c:spPr>
      <c:txPr>
        <a:bodyPr rot="0" spcFirstLastPara="1" vertOverflow="ellipsis" vert="horz" wrap="square" anchor="ctr" anchorCtr="1"/>
        <a:lstStyle/>
        <a:p>
          <a:pPr>
            <a:defRPr sz="800" b="0" i="0" u="none" strike="noStrike" kern="1200" baseline="0">
              <a:solidFill>
                <a:srgbClr val="000000"/>
              </a:solidFill>
              <a:latin typeface="Arial"/>
              <a:ea typeface="Arial"/>
              <a:cs typeface="Arial"/>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3175" cap="flat" cmpd="sng" algn="ctr">
      <a:solidFill>
        <a:srgbClr val="000000"/>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rgbClr val="000000"/>
                </a:solidFill>
                <a:latin typeface="Arial"/>
                <a:ea typeface="Arial"/>
                <a:cs typeface="Arial"/>
              </a:defRPr>
            </a:pPr>
            <a:r>
              <a:rPr lang="en-US" sz="1100" b="1"/>
              <a:t>Impedance vs Frequency</a:t>
            </a:r>
          </a:p>
        </c:rich>
      </c:tx>
      <c:overlay val="0"/>
      <c:spPr>
        <a:noFill/>
        <a:ln>
          <a:noFill/>
        </a:ln>
        <a:effectLst/>
      </c:spPr>
      <c:txPr>
        <a:bodyPr rot="0" spcFirstLastPara="1" vertOverflow="ellipsis" vert="horz" wrap="square" anchor="ctr" anchorCtr="1"/>
        <a:lstStyle/>
        <a:p>
          <a:pPr>
            <a:defRPr sz="1100" b="1" i="0" u="none" strike="noStrike" kern="1200" spc="0" baseline="0">
              <a:solidFill>
                <a:srgbClr val="000000"/>
              </a:solidFill>
              <a:latin typeface="Arial"/>
              <a:ea typeface="Arial"/>
              <a:cs typeface="Arial"/>
            </a:defRPr>
          </a:pPr>
          <a:endParaRPr lang="en-US"/>
        </a:p>
      </c:txPr>
    </c:title>
    <c:autoTitleDeleted val="0"/>
    <c:plotArea>
      <c:layout/>
      <c:scatterChart>
        <c:scatterStyle val="lineMarker"/>
        <c:varyColors val="0"/>
        <c:ser>
          <c:idx val="0"/>
          <c:order val="0"/>
          <c:tx>
            <c:strRef>
              <c:f>'Capacitor Impedance'!$R$3</c:f>
              <c:strCache>
                <c:ptCount val="1"/>
                <c:pt idx="0">
                  <c:v>100µF</c:v>
                </c:pt>
              </c:strCache>
            </c:strRef>
          </c:tx>
          <c:spPr>
            <a:ln w="25400" cap="rnd">
              <a:solidFill>
                <a:schemeClr val="accent1"/>
              </a:solidFill>
              <a:round/>
            </a:ln>
            <a:effectLst/>
          </c:spPr>
          <c:marker>
            <c:symbol val="none"/>
          </c:marker>
          <c:xVal>
            <c:numRef>
              <c:f>'Capacitor Impedance'!$Q$6:$Q$87</c:f>
              <c:numCache>
                <c:formatCode>#,##0</c:formatCode>
                <c:ptCount val="82"/>
                <c:pt idx="0">
                  <c:v>1</c:v>
                </c:pt>
                <c:pt idx="1">
                  <c:v>2</c:v>
                </c:pt>
                <c:pt idx="2">
                  <c:v>3</c:v>
                </c:pt>
                <c:pt idx="3">
                  <c:v>4</c:v>
                </c:pt>
                <c:pt idx="4">
                  <c:v>5</c:v>
                </c:pt>
                <c:pt idx="5">
                  <c:v>6</c:v>
                </c:pt>
                <c:pt idx="6">
                  <c:v>7</c:v>
                </c:pt>
                <c:pt idx="7">
                  <c:v>8</c:v>
                </c:pt>
                <c:pt idx="8">
                  <c:v>9</c:v>
                </c:pt>
                <c:pt idx="9">
                  <c:v>10</c:v>
                </c:pt>
                <c:pt idx="10">
                  <c:v>20</c:v>
                </c:pt>
                <c:pt idx="11">
                  <c:v>30</c:v>
                </c:pt>
                <c:pt idx="12">
                  <c:v>40</c:v>
                </c:pt>
                <c:pt idx="13">
                  <c:v>50</c:v>
                </c:pt>
                <c:pt idx="14">
                  <c:v>60</c:v>
                </c:pt>
                <c:pt idx="15">
                  <c:v>70</c:v>
                </c:pt>
                <c:pt idx="16">
                  <c:v>80</c:v>
                </c:pt>
                <c:pt idx="17">
                  <c:v>90</c:v>
                </c:pt>
                <c:pt idx="18">
                  <c:v>100</c:v>
                </c:pt>
                <c:pt idx="19">
                  <c:v>200</c:v>
                </c:pt>
                <c:pt idx="20">
                  <c:v>300</c:v>
                </c:pt>
                <c:pt idx="21">
                  <c:v>400</c:v>
                </c:pt>
                <c:pt idx="22">
                  <c:v>500</c:v>
                </c:pt>
                <c:pt idx="23">
                  <c:v>600</c:v>
                </c:pt>
                <c:pt idx="24">
                  <c:v>700</c:v>
                </c:pt>
                <c:pt idx="25">
                  <c:v>800</c:v>
                </c:pt>
                <c:pt idx="26">
                  <c:v>900</c:v>
                </c:pt>
                <c:pt idx="27">
                  <c:v>1000</c:v>
                </c:pt>
                <c:pt idx="28">
                  <c:v>2000</c:v>
                </c:pt>
                <c:pt idx="29">
                  <c:v>3000</c:v>
                </c:pt>
                <c:pt idx="30">
                  <c:v>4000</c:v>
                </c:pt>
                <c:pt idx="31">
                  <c:v>5000</c:v>
                </c:pt>
                <c:pt idx="32">
                  <c:v>6000</c:v>
                </c:pt>
                <c:pt idx="33">
                  <c:v>7000</c:v>
                </c:pt>
                <c:pt idx="34">
                  <c:v>8000</c:v>
                </c:pt>
                <c:pt idx="35">
                  <c:v>9000</c:v>
                </c:pt>
                <c:pt idx="36">
                  <c:v>10000</c:v>
                </c:pt>
                <c:pt idx="37">
                  <c:v>20000</c:v>
                </c:pt>
                <c:pt idx="38">
                  <c:v>30000</c:v>
                </c:pt>
                <c:pt idx="39">
                  <c:v>40000</c:v>
                </c:pt>
                <c:pt idx="40">
                  <c:v>50000</c:v>
                </c:pt>
                <c:pt idx="41">
                  <c:v>60000</c:v>
                </c:pt>
                <c:pt idx="42">
                  <c:v>70000</c:v>
                </c:pt>
                <c:pt idx="43">
                  <c:v>80000</c:v>
                </c:pt>
                <c:pt idx="44">
                  <c:v>90000</c:v>
                </c:pt>
                <c:pt idx="45">
                  <c:v>100000</c:v>
                </c:pt>
                <c:pt idx="46">
                  <c:v>200000</c:v>
                </c:pt>
                <c:pt idx="47">
                  <c:v>300000</c:v>
                </c:pt>
                <c:pt idx="48">
                  <c:v>400000</c:v>
                </c:pt>
                <c:pt idx="49">
                  <c:v>500000</c:v>
                </c:pt>
                <c:pt idx="50">
                  <c:v>600000</c:v>
                </c:pt>
                <c:pt idx="51">
                  <c:v>700000</c:v>
                </c:pt>
                <c:pt idx="52">
                  <c:v>800000</c:v>
                </c:pt>
                <c:pt idx="53">
                  <c:v>900000</c:v>
                </c:pt>
                <c:pt idx="54">
                  <c:v>1000000</c:v>
                </c:pt>
                <c:pt idx="55">
                  <c:v>2000000</c:v>
                </c:pt>
                <c:pt idx="56">
                  <c:v>3000000</c:v>
                </c:pt>
                <c:pt idx="57">
                  <c:v>4000000</c:v>
                </c:pt>
                <c:pt idx="58">
                  <c:v>5000000</c:v>
                </c:pt>
                <c:pt idx="59">
                  <c:v>6000000</c:v>
                </c:pt>
                <c:pt idx="60">
                  <c:v>7000000</c:v>
                </c:pt>
                <c:pt idx="61">
                  <c:v>8000000</c:v>
                </c:pt>
                <c:pt idx="62">
                  <c:v>9000000</c:v>
                </c:pt>
                <c:pt idx="63">
                  <c:v>10000000</c:v>
                </c:pt>
                <c:pt idx="64">
                  <c:v>20000000</c:v>
                </c:pt>
                <c:pt idx="65">
                  <c:v>30000000</c:v>
                </c:pt>
                <c:pt idx="66">
                  <c:v>40000000</c:v>
                </c:pt>
                <c:pt idx="67">
                  <c:v>50000000</c:v>
                </c:pt>
                <c:pt idx="68">
                  <c:v>60000000</c:v>
                </c:pt>
                <c:pt idx="69">
                  <c:v>70000000</c:v>
                </c:pt>
                <c:pt idx="70">
                  <c:v>80000000</c:v>
                </c:pt>
                <c:pt idx="71">
                  <c:v>90000000</c:v>
                </c:pt>
                <c:pt idx="72">
                  <c:v>100000000</c:v>
                </c:pt>
                <c:pt idx="73">
                  <c:v>200000000</c:v>
                </c:pt>
                <c:pt idx="74">
                  <c:v>300000000</c:v>
                </c:pt>
                <c:pt idx="75">
                  <c:v>400000000</c:v>
                </c:pt>
                <c:pt idx="76">
                  <c:v>500000000</c:v>
                </c:pt>
                <c:pt idx="77">
                  <c:v>600000000</c:v>
                </c:pt>
                <c:pt idx="78">
                  <c:v>700000000</c:v>
                </c:pt>
                <c:pt idx="79">
                  <c:v>800000000</c:v>
                </c:pt>
                <c:pt idx="80">
                  <c:v>900000000</c:v>
                </c:pt>
                <c:pt idx="81">
                  <c:v>1000000000</c:v>
                </c:pt>
              </c:numCache>
            </c:numRef>
          </c:xVal>
          <c:yVal>
            <c:numRef>
              <c:f>'Capacitor Impedance'!$R$6:$R$87</c:f>
              <c:numCache>
                <c:formatCode>0.000000000000</c:formatCode>
                <c:ptCount val="82"/>
                <c:pt idx="0">
                  <c:v>1591549.4309189534</c:v>
                </c:pt>
                <c:pt idx="1">
                  <c:v>795774.71545947669</c:v>
                </c:pt>
                <c:pt idx="2">
                  <c:v>530516.4769729845</c:v>
                </c:pt>
                <c:pt idx="3">
                  <c:v>397887.35772973835</c:v>
                </c:pt>
                <c:pt idx="4">
                  <c:v>318309.88618379069</c:v>
                </c:pt>
                <c:pt idx="5">
                  <c:v>265258.23848649225</c:v>
                </c:pt>
                <c:pt idx="6">
                  <c:v>227364.20441699339</c:v>
                </c:pt>
                <c:pt idx="7">
                  <c:v>198943.67886486917</c:v>
                </c:pt>
                <c:pt idx="8">
                  <c:v>176838.82565766151</c:v>
                </c:pt>
                <c:pt idx="9">
                  <c:v>159154.94309189534</c:v>
                </c:pt>
                <c:pt idx="10">
                  <c:v>79577.471545947672</c:v>
                </c:pt>
                <c:pt idx="11">
                  <c:v>53051.647697298446</c:v>
                </c:pt>
                <c:pt idx="12">
                  <c:v>39788.735772973836</c:v>
                </c:pt>
                <c:pt idx="13">
                  <c:v>31830.988618379066</c:v>
                </c:pt>
                <c:pt idx="14">
                  <c:v>26525.823848649223</c:v>
                </c:pt>
                <c:pt idx="15">
                  <c:v>22736.420441699334</c:v>
                </c:pt>
                <c:pt idx="16">
                  <c:v>19894.367886486918</c:v>
                </c:pt>
                <c:pt idx="17">
                  <c:v>17683.882565766147</c:v>
                </c:pt>
                <c:pt idx="18">
                  <c:v>15915.494309189533</c:v>
                </c:pt>
                <c:pt idx="19">
                  <c:v>7957.7471545947665</c:v>
                </c:pt>
                <c:pt idx="20">
                  <c:v>5305.1647697298449</c:v>
                </c:pt>
                <c:pt idx="21">
                  <c:v>3978.8735772973832</c:v>
                </c:pt>
                <c:pt idx="22">
                  <c:v>3183.0988618379074</c:v>
                </c:pt>
                <c:pt idx="23">
                  <c:v>2652.5823848649225</c:v>
                </c:pt>
                <c:pt idx="24">
                  <c:v>2273.6420441699338</c:v>
                </c:pt>
                <c:pt idx="25">
                  <c:v>1989.4367886486916</c:v>
                </c:pt>
                <c:pt idx="26">
                  <c:v>1768.3882565766148</c:v>
                </c:pt>
                <c:pt idx="27">
                  <c:v>1591.5494309189537</c:v>
                </c:pt>
                <c:pt idx="28">
                  <c:v>795.77471545947685</c:v>
                </c:pt>
                <c:pt idx="29">
                  <c:v>530.51647697298449</c:v>
                </c:pt>
                <c:pt idx="30">
                  <c:v>397.88735772973843</c:v>
                </c:pt>
                <c:pt idx="31">
                  <c:v>318.30988618379075</c:v>
                </c:pt>
                <c:pt idx="32">
                  <c:v>265.25823848649225</c:v>
                </c:pt>
                <c:pt idx="33">
                  <c:v>227.3642044169934</c:v>
                </c:pt>
                <c:pt idx="34">
                  <c:v>198.94367886486921</c:v>
                </c:pt>
                <c:pt idx="35">
                  <c:v>176.83882565766149</c:v>
                </c:pt>
                <c:pt idx="36">
                  <c:v>159.15494309189538</c:v>
                </c:pt>
                <c:pt idx="37">
                  <c:v>79.577471545947688</c:v>
                </c:pt>
                <c:pt idx="38">
                  <c:v>53.051647697298449</c:v>
                </c:pt>
                <c:pt idx="39">
                  <c:v>39.788735772973844</c:v>
                </c:pt>
                <c:pt idx="40">
                  <c:v>31.83098861837907</c:v>
                </c:pt>
                <c:pt idx="41">
                  <c:v>26.525823848649225</c:v>
                </c:pt>
                <c:pt idx="42">
                  <c:v>22.736420441699334</c:v>
                </c:pt>
                <c:pt idx="43">
                  <c:v>19.894367886486922</c:v>
                </c:pt>
                <c:pt idx="44">
                  <c:v>17.683882565766147</c:v>
                </c:pt>
                <c:pt idx="45">
                  <c:v>15.915494309189535</c:v>
                </c:pt>
                <c:pt idx="46">
                  <c:v>7.9577471545947676</c:v>
                </c:pt>
                <c:pt idx="47">
                  <c:v>5.3051647697298447</c:v>
                </c:pt>
                <c:pt idx="48">
                  <c:v>3.9788735772973838</c:v>
                </c:pt>
                <c:pt idx="49">
                  <c:v>3.1830988618379075</c:v>
                </c:pt>
                <c:pt idx="50">
                  <c:v>2.6525823848649224</c:v>
                </c:pt>
                <c:pt idx="51">
                  <c:v>2.2736420441699337</c:v>
                </c:pt>
                <c:pt idx="52">
                  <c:v>1.9894367886486919</c:v>
                </c:pt>
                <c:pt idx="53">
                  <c:v>1.7683882565766149</c:v>
                </c:pt>
                <c:pt idx="54">
                  <c:v>1.5915494309189537</c:v>
                </c:pt>
                <c:pt idx="55">
                  <c:v>0.79577471545947687</c:v>
                </c:pt>
                <c:pt idx="56">
                  <c:v>0.53051647697298443</c:v>
                </c:pt>
                <c:pt idx="57">
                  <c:v>0.39788735772973843</c:v>
                </c:pt>
                <c:pt idx="58">
                  <c:v>0.31830988618379069</c:v>
                </c:pt>
                <c:pt idx="59">
                  <c:v>0.26525823848649221</c:v>
                </c:pt>
                <c:pt idx="60">
                  <c:v>0.22736420441699337</c:v>
                </c:pt>
                <c:pt idx="61">
                  <c:v>0.19894367886486922</c:v>
                </c:pt>
                <c:pt idx="62">
                  <c:v>0.17683882565766151</c:v>
                </c:pt>
                <c:pt idx="63">
                  <c:v>0.15915494309189535</c:v>
                </c:pt>
                <c:pt idx="64">
                  <c:v>7.9577471545947673E-2</c:v>
                </c:pt>
                <c:pt idx="65">
                  <c:v>5.3051647697298455E-2</c:v>
                </c:pt>
                <c:pt idx="66">
                  <c:v>3.9788735772973836E-2</c:v>
                </c:pt>
                <c:pt idx="67">
                  <c:v>3.1830988618379075E-2</c:v>
                </c:pt>
                <c:pt idx="68">
                  <c:v>2.6525823848649228E-2</c:v>
                </c:pt>
                <c:pt idx="69">
                  <c:v>2.2736420441699337E-2</c:v>
                </c:pt>
                <c:pt idx="70">
                  <c:v>1.9894367886486918E-2</c:v>
                </c:pt>
                <c:pt idx="71">
                  <c:v>1.7683882565766151E-2</c:v>
                </c:pt>
                <c:pt idx="72">
                  <c:v>1.5915494309189537E-2</c:v>
                </c:pt>
                <c:pt idx="73">
                  <c:v>7.9577471545947687E-3</c:v>
                </c:pt>
                <c:pt idx="74">
                  <c:v>5.3051647697298452E-3</c:v>
                </c:pt>
                <c:pt idx="75">
                  <c:v>3.9788735772973843E-3</c:v>
                </c:pt>
                <c:pt idx="76">
                  <c:v>3.1830988618379071E-3</c:v>
                </c:pt>
                <c:pt idx="77">
                  <c:v>2.6525823848649226E-3</c:v>
                </c:pt>
                <c:pt idx="78">
                  <c:v>2.273642044169934E-3</c:v>
                </c:pt>
                <c:pt idx="79">
                  <c:v>1.9894367886486922E-3</c:v>
                </c:pt>
                <c:pt idx="80">
                  <c:v>1.7683882565766149E-3</c:v>
                </c:pt>
                <c:pt idx="81">
                  <c:v>1.5915494309189536E-3</c:v>
                </c:pt>
              </c:numCache>
            </c:numRef>
          </c:yVal>
          <c:smooth val="0"/>
          <c:extLst>
            <c:ext xmlns:c16="http://schemas.microsoft.com/office/drawing/2014/chart" uri="{C3380CC4-5D6E-409C-BE32-E72D297353CC}">
              <c16:uniqueId val="{0000000F-209E-4F50-82BA-B53BEBD47505}"/>
            </c:ext>
          </c:extLst>
        </c:ser>
        <c:ser>
          <c:idx val="1"/>
          <c:order val="1"/>
          <c:tx>
            <c:strRef>
              <c:f>'Capacitor Impedance'!$W$3</c:f>
              <c:strCache>
                <c:ptCount val="1"/>
                <c:pt idx="0">
                  <c:v>10µF</c:v>
                </c:pt>
              </c:strCache>
            </c:strRef>
          </c:tx>
          <c:spPr>
            <a:ln w="25400" cap="rnd">
              <a:solidFill>
                <a:schemeClr val="accent2"/>
              </a:solidFill>
              <a:round/>
            </a:ln>
            <a:effectLst/>
          </c:spPr>
          <c:marker>
            <c:symbol val="none"/>
          </c:marker>
          <c:xVal>
            <c:numRef>
              <c:f>'Capacitor Impedance'!$Q$6:$Q$87</c:f>
              <c:numCache>
                <c:formatCode>#,##0</c:formatCode>
                <c:ptCount val="82"/>
                <c:pt idx="0">
                  <c:v>1</c:v>
                </c:pt>
                <c:pt idx="1">
                  <c:v>2</c:v>
                </c:pt>
                <c:pt idx="2">
                  <c:v>3</c:v>
                </c:pt>
                <c:pt idx="3">
                  <c:v>4</c:v>
                </c:pt>
                <c:pt idx="4">
                  <c:v>5</c:v>
                </c:pt>
                <c:pt idx="5">
                  <c:v>6</c:v>
                </c:pt>
                <c:pt idx="6">
                  <c:v>7</c:v>
                </c:pt>
                <c:pt idx="7">
                  <c:v>8</c:v>
                </c:pt>
                <c:pt idx="8">
                  <c:v>9</c:v>
                </c:pt>
                <c:pt idx="9">
                  <c:v>10</c:v>
                </c:pt>
                <c:pt idx="10">
                  <c:v>20</c:v>
                </c:pt>
                <c:pt idx="11">
                  <c:v>30</c:v>
                </c:pt>
                <c:pt idx="12">
                  <c:v>40</c:v>
                </c:pt>
                <c:pt idx="13">
                  <c:v>50</c:v>
                </c:pt>
                <c:pt idx="14">
                  <c:v>60</c:v>
                </c:pt>
                <c:pt idx="15">
                  <c:v>70</c:v>
                </c:pt>
                <c:pt idx="16">
                  <c:v>80</c:v>
                </c:pt>
                <c:pt idx="17">
                  <c:v>90</c:v>
                </c:pt>
                <c:pt idx="18">
                  <c:v>100</c:v>
                </c:pt>
                <c:pt idx="19">
                  <c:v>200</c:v>
                </c:pt>
                <c:pt idx="20">
                  <c:v>300</c:v>
                </c:pt>
                <c:pt idx="21">
                  <c:v>400</c:v>
                </c:pt>
                <c:pt idx="22">
                  <c:v>500</c:v>
                </c:pt>
                <c:pt idx="23">
                  <c:v>600</c:v>
                </c:pt>
                <c:pt idx="24">
                  <c:v>700</c:v>
                </c:pt>
                <c:pt idx="25">
                  <c:v>800</c:v>
                </c:pt>
                <c:pt idx="26">
                  <c:v>900</c:v>
                </c:pt>
                <c:pt idx="27">
                  <c:v>1000</c:v>
                </c:pt>
                <c:pt idx="28">
                  <c:v>2000</c:v>
                </c:pt>
                <c:pt idx="29">
                  <c:v>3000</c:v>
                </c:pt>
                <c:pt idx="30">
                  <c:v>4000</c:v>
                </c:pt>
                <c:pt idx="31">
                  <c:v>5000</c:v>
                </c:pt>
                <c:pt idx="32">
                  <c:v>6000</c:v>
                </c:pt>
                <c:pt idx="33">
                  <c:v>7000</c:v>
                </c:pt>
                <c:pt idx="34">
                  <c:v>8000</c:v>
                </c:pt>
                <c:pt idx="35">
                  <c:v>9000</c:v>
                </c:pt>
                <c:pt idx="36">
                  <c:v>10000</c:v>
                </c:pt>
                <c:pt idx="37">
                  <c:v>20000</c:v>
                </c:pt>
                <c:pt idx="38">
                  <c:v>30000</c:v>
                </c:pt>
                <c:pt idx="39">
                  <c:v>40000</c:v>
                </c:pt>
                <c:pt idx="40">
                  <c:v>50000</c:v>
                </c:pt>
                <c:pt idx="41">
                  <c:v>60000</c:v>
                </c:pt>
                <c:pt idx="42">
                  <c:v>70000</c:v>
                </c:pt>
                <c:pt idx="43">
                  <c:v>80000</c:v>
                </c:pt>
                <c:pt idx="44">
                  <c:v>90000</c:v>
                </c:pt>
                <c:pt idx="45">
                  <c:v>100000</c:v>
                </c:pt>
                <c:pt idx="46">
                  <c:v>200000</c:v>
                </c:pt>
                <c:pt idx="47">
                  <c:v>300000</c:v>
                </c:pt>
                <c:pt idx="48">
                  <c:v>400000</c:v>
                </c:pt>
                <c:pt idx="49">
                  <c:v>500000</c:v>
                </c:pt>
                <c:pt idx="50">
                  <c:v>600000</c:v>
                </c:pt>
                <c:pt idx="51">
                  <c:v>700000</c:v>
                </c:pt>
                <c:pt idx="52">
                  <c:v>800000</c:v>
                </c:pt>
                <c:pt idx="53">
                  <c:v>900000</c:v>
                </c:pt>
                <c:pt idx="54">
                  <c:v>1000000</c:v>
                </c:pt>
                <c:pt idx="55">
                  <c:v>2000000</c:v>
                </c:pt>
                <c:pt idx="56">
                  <c:v>3000000</c:v>
                </c:pt>
                <c:pt idx="57">
                  <c:v>4000000</c:v>
                </c:pt>
                <c:pt idx="58">
                  <c:v>5000000</c:v>
                </c:pt>
                <c:pt idx="59">
                  <c:v>6000000</c:v>
                </c:pt>
                <c:pt idx="60">
                  <c:v>7000000</c:v>
                </c:pt>
                <c:pt idx="61">
                  <c:v>8000000</c:v>
                </c:pt>
                <c:pt idx="62">
                  <c:v>9000000</c:v>
                </c:pt>
                <c:pt idx="63">
                  <c:v>10000000</c:v>
                </c:pt>
                <c:pt idx="64">
                  <c:v>20000000</c:v>
                </c:pt>
                <c:pt idx="65">
                  <c:v>30000000</c:v>
                </c:pt>
                <c:pt idx="66">
                  <c:v>40000000</c:v>
                </c:pt>
                <c:pt idx="67">
                  <c:v>50000000</c:v>
                </c:pt>
                <c:pt idx="68">
                  <c:v>60000000</c:v>
                </c:pt>
                <c:pt idx="69">
                  <c:v>70000000</c:v>
                </c:pt>
                <c:pt idx="70">
                  <c:v>80000000</c:v>
                </c:pt>
                <c:pt idx="71">
                  <c:v>90000000</c:v>
                </c:pt>
                <c:pt idx="72">
                  <c:v>100000000</c:v>
                </c:pt>
                <c:pt idx="73">
                  <c:v>200000000</c:v>
                </c:pt>
                <c:pt idx="74">
                  <c:v>300000000</c:v>
                </c:pt>
                <c:pt idx="75">
                  <c:v>400000000</c:v>
                </c:pt>
                <c:pt idx="76">
                  <c:v>500000000</c:v>
                </c:pt>
                <c:pt idx="77">
                  <c:v>600000000</c:v>
                </c:pt>
                <c:pt idx="78">
                  <c:v>700000000</c:v>
                </c:pt>
                <c:pt idx="79">
                  <c:v>800000000</c:v>
                </c:pt>
                <c:pt idx="80">
                  <c:v>900000000</c:v>
                </c:pt>
                <c:pt idx="81">
                  <c:v>1000000000</c:v>
                </c:pt>
              </c:numCache>
            </c:numRef>
          </c:xVal>
          <c:yVal>
            <c:numRef>
              <c:f>'Capacitor Impedance'!$W$6:$W$87</c:f>
              <c:numCache>
                <c:formatCode>0.000000000000</c:formatCode>
                <c:ptCount val="82"/>
                <c:pt idx="0">
                  <c:v>15915494.309189536</c:v>
                </c:pt>
                <c:pt idx="1">
                  <c:v>7957747.1545947678</c:v>
                </c:pt>
                <c:pt idx="2">
                  <c:v>5305164.7697298452</c:v>
                </c:pt>
                <c:pt idx="3">
                  <c:v>3978873.5772973839</c:v>
                </c:pt>
                <c:pt idx="4">
                  <c:v>3183098.8618379068</c:v>
                </c:pt>
                <c:pt idx="5">
                  <c:v>2652582.3848649226</c:v>
                </c:pt>
                <c:pt idx="6">
                  <c:v>2273642.0441699335</c:v>
                </c:pt>
                <c:pt idx="7">
                  <c:v>1989436.788648692</c:v>
                </c:pt>
                <c:pt idx="8">
                  <c:v>1768388.2565766149</c:v>
                </c:pt>
                <c:pt idx="9">
                  <c:v>1591549.4309189534</c:v>
                </c:pt>
                <c:pt idx="10">
                  <c:v>795774.71545947669</c:v>
                </c:pt>
                <c:pt idx="11">
                  <c:v>530516.4769729845</c:v>
                </c:pt>
                <c:pt idx="12">
                  <c:v>397887.35772973835</c:v>
                </c:pt>
                <c:pt idx="13">
                  <c:v>318309.88618379069</c:v>
                </c:pt>
                <c:pt idx="14">
                  <c:v>265258.23848649225</c:v>
                </c:pt>
                <c:pt idx="15">
                  <c:v>227364.20441699339</c:v>
                </c:pt>
                <c:pt idx="16">
                  <c:v>198943.67886486917</c:v>
                </c:pt>
                <c:pt idx="17">
                  <c:v>176838.82565766151</c:v>
                </c:pt>
                <c:pt idx="18">
                  <c:v>159154.94309189534</c:v>
                </c:pt>
                <c:pt idx="19">
                  <c:v>79577.471545947672</c:v>
                </c:pt>
                <c:pt idx="20">
                  <c:v>53051.647697298446</c:v>
                </c:pt>
                <c:pt idx="21">
                  <c:v>39788.735772973836</c:v>
                </c:pt>
                <c:pt idx="22">
                  <c:v>31830.988618379073</c:v>
                </c:pt>
                <c:pt idx="23">
                  <c:v>26525.823848649223</c:v>
                </c:pt>
                <c:pt idx="24">
                  <c:v>22736.420441699334</c:v>
                </c:pt>
                <c:pt idx="25">
                  <c:v>19894.367886486918</c:v>
                </c:pt>
                <c:pt idx="26">
                  <c:v>17683.882565766151</c:v>
                </c:pt>
                <c:pt idx="27">
                  <c:v>15915.494309189537</c:v>
                </c:pt>
                <c:pt idx="28">
                  <c:v>7957.7471545947683</c:v>
                </c:pt>
                <c:pt idx="29">
                  <c:v>5305.1647697298449</c:v>
                </c:pt>
                <c:pt idx="30">
                  <c:v>3978.8735772973841</c:v>
                </c:pt>
                <c:pt idx="31">
                  <c:v>3183.098861837907</c:v>
                </c:pt>
                <c:pt idx="32">
                  <c:v>2652.5823848649225</c:v>
                </c:pt>
                <c:pt idx="33">
                  <c:v>2273.6420441699338</c:v>
                </c:pt>
                <c:pt idx="34">
                  <c:v>1989.4367886486921</c:v>
                </c:pt>
                <c:pt idx="35">
                  <c:v>1768.3882565766148</c:v>
                </c:pt>
                <c:pt idx="36">
                  <c:v>1591.5494309189535</c:v>
                </c:pt>
                <c:pt idx="37">
                  <c:v>795.77471545947674</c:v>
                </c:pt>
                <c:pt idx="38">
                  <c:v>530.51647697298449</c:v>
                </c:pt>
                <c:pt idx="39">
                  <c:v>397.88735772973837</c:v>
                </c:pt>
                <c:pt idx="40">
                  <c:v>318.30988618379075</c:v>
                </c:pt>
                <c:pt idx="41">
                  <c:v>265.25823848649225</c:v>
                </c:pt>
                <c:pt idx="42">
                  <c:v>227.3642044169934</c:v>
                </c:pt>
                <c:pt idx="43">
                  <c:v>198.94367886486918</c:v>
                </c:pt>
                <c:pt idx="44">
                  <c:v>176.83882565766149</c:v>
                </c:pt>
                <c:pt idx="45">
                  <c:v>159.15494309189538</c:v>
                </c:pt>
                <c:pt idx="46">
                  <c:v>79.577471545947688</c:v>
                </c:pt>
                <c:pt idx="47">
                  <c:v>53.051647697298449</c:v>
                </c:pt>
                <c:pt idx="48">
                  <c:v>39.788735772973844</c:v>
                </c:pt>
                <c:pt idx="49">
                  <c:v>31.83098861837907</c:v>
                </c:pt>
                <c:pt idx="50">
                  <c:v>26.525823848649225</c:v>
                </c:pt>
                <c:pt idx="51">
                  <c:v>22.736420441699337</c:v>
                </c:pt>
                <c:pt idx="52">
                  <c:v>19.894367886486922</c:v>
                </c:pt>
                <c:pt idx="53">
                  <c:v>17.683882565766151</c:v>
                </c:pt>
                <c:pt idx="54">
                  <c:v>15.915494309189535</c:v>
                </c:pt>
                <c:pt idx="55">
                  <c:v>7.9577471545947676</c:v>
                </c:pt>
                <c:pt idx="56">
                  <c:v>5.3051647697298447</c:v>
                </c:pt>
                <c:pt idx="57">
                  <c:v>3.9788735772973838</c:v>
                </c:pt>
                <c:pt idx="58">
                  <c:v>3.1830988618379066</c:v>
                </c:pt>
                <c:pt idx="59">
                  <c:v>2.6525823848649224</c:v>
                </c:pt>
                <c:pt idx="60">
                  <c:v>2.2736420441699337</c:v>
                </c:pt>
                <c:pt idx="61">
                  <c:v>1.9894367886486919</c:v>
                </c:pt>
                <c:pt idx="62">
                  <c:v>1.7683882565766149</c:v>
                </c:pt>
                <c:pt idx="63">
                  <c:v>1.5915494309189533</c:v>
                </c:pt>
                <c:pt idx="64">
                  <c:v>0.79577471545947664</c:v>
                </c:pt>
                <c:pt idx="65">
                  <c:v>0.53051647697298443</c:v>
                </c:pt>
                <c:pt idx="66">
                  <c:v>0.39788735772973832</c:v>
                </c:pt>
                <c:pt idx="67">
                  <c:v>0.31830988618379075</c:v>
                </c:pt>
                <c:pt idx="68">
                  <c:v>0.26525823848649221</c:v>
                </c:pt>
                <c:pt idx="69">
                  <c:v>0.22736420441699337</c:v>
                </c:pt>
                <c:pt idx="70">
                  <c:v>0.19894367886486916</c:v>
                </c:pt>
                <c:pt idx="71">
                  <c:v>0.17683882565766149</c:v>
                </c:pt>
                <c:pt idx="72">
                  <c:v>0.15915494309189537</c:v>
                </c:pt>
                <c:pt idx="73">
                  <c:v>7.9577471545947687E-2</c:v>
                </c:pt>
                <c:pt idx="74">
                  <c:v>5.3051647697298455E-2</c:v>
                </c:pt>
                <c:pt idx="75">
                  <c:v>3.9788735772973843E-2</c:v>
                </c:pt>
                <c:pt idx="76">
                  <c:v>3.1830988618379068E-2</c:v>
                </c:pt>
                <c:pt idx="77">
                  <c:v>2.6525823848649228E-2</c:v>
                </c:pt>
                <c:pt idx="78">
                  <c:v>2.2736420441699337E-2</c:v>
                </c:pt>
                <c:pt idx="79">
                  <c:v>1.9894367886486922E-2</c:v>
                </c:pt>
                <c:pt idx="80">
                  <c:v>1.7683882565766147E-2</c:v>
                </c:pt>
                <c:pt idx="81">
                  <c:v>1.5915494309189534E-2</c:v>
                </c:pt>
              </c:numCache>
            </c:numRef>
          </c:yVal>
          <c:smooth val="0"/>
          <c:extLst>
            <c:ext xmlns:c16="http://schemas.microsoft.com/office/drawing/2014/chart" uri="{C3380CC4-5D6E-409C-BE32-E72D297353CC}">
              <c16:uniqueId val="{00000011-209E-4F50-82BA-B53BEBD47505}"/>
            </c:ext>
          </c:extLst>
        </c:ser>
        <c:ser>
          <c:idx val="2"/>
          <c:order val="2"/>
          <c:tx>
            <c:strRef>
              <c:f>'Capacitor Impedance'!$AB$3</c:f>
              <c:strCache>
                <c:ptCount val="1"/>
                <c:pt idx="0">
                  <c:v>1µF</c:v>
                </c:pt>
              </c:strCache>
            </c:strRef>
          </c:tx>
          <c:spPr>
            <a:ln w="25400" cap="rnd">
              <a:solidFill>
                <a:schemeClr val="accent3"/>
              </a:solidFill>
              <a:round/>
            </a:ln>
            <a:effectLst/>
          </c:spPr>
          <c:marker>
            <c:symbol val="none"/>
          </c:marker>
          <c:xVal>
            <c:numRef>
              <c:f>'Capacitor Impedance'!$Q$6:$Q$87</c:f>
              <c:numCache>
                <c:formatCode>#,##0</c:formatCode>
                <c:ptCount val="82"/>
                <c:pt idx="0">
                  <c:v>1</c:v>
                </c:pt>
                <c:pt idx="1">
                  <c:v>2</c:v>
                </c:pt>
                <c:pt idx="2">
                  <c:v>3</c:v>
                </c:pt>
                <c:pt idx="3">
                  <c:v>4</c:v>
                </c:pt>
                <c:pt idx="4">
                  <c:v>5</c:v>
                </c:pt>
                <c:pt idx="5">
                  <c:v>6</c:v>
                </c:pt>
                <c:pt idx="6">
                  <c:v>7</c:v>
                </c:pt>
                <c:pt idx="7">
                  <c:v>8</c:v>
                </c:pt>
                <c:pt idx="8">
                  <c:v>9</c:v>
                </c:pt>
                <c:pt idx="9">
                  <c:v>10</c:v>
                </c:pt>
                <c:pt idx="10">
                  <c:v>20</c:v>
                </c:pt>
                <c:pt idx="11">
                  <c:v>30</c:v>
                </c:pt>
                <c:pt idx="12">
                  <c:v>40</c:v>
                </c:pt>
                <c:pt idx="13">
                  <c:v>50</c:v>
                </c:pt>
                <c:pt idx="14">
                  <c:v>60</c:v>
                </c:pt>
                <c:pt idx="15">
                  <c:v>70</c:v>
                </c:pt>
                <c:pt idx="16">
                  <c:v>80</c:v>
                </c:pt>
                <c:pt idx="17">
                  <c:v>90</c:v>
                </c:pt>
                <c:pt idx="18">
                  <c:v>100</c:v>
                </c:pt>
                <c:pt idx="19">
                  <c:v>200</c:v>
                </c:pt>
                <c:pt idx="20">
                  <c:v>300</c:v>
                </c:pt>
                <c:pt idx="21">
                  <c:v>400</c:v>
                </c:pt>
                <c:pt idx="22">
                  <c:v>500</c:v>
                </c:pt>
                <c:pt idx="23">
                  <c:v>600</c:v>
                </c:pt>
                <c:pt idx="24">
                  <c:v>700</c:v>
                </c:pt>
                <c:pt idx="25">
                  <c:v>800</c:v>
                </c:pt>
                <c:pt idx="26">
                  <c:v>900</c:v>
                </c:pt>
                <c:pt idx="27">
                  <c:v>1000</c:v>
                </c:pt>
                <c:pt idx="28">
                  <c:v>2000</c:v>
                </c:pt>
                <c:pt idx="29">
                  <c:v>3000</c:v>
                </c:pt>
                <c:pt idx="30">
                  <c:v>4000</c:v>
                </c:pt>
                <c:pt idx="31">
                  <c:v>5000</c:v>
                </c:pt>
                <c:pt idx="32">
                  <c:v>6000</c:v>
                </c:pt>
                <c:pt idx="33">
                  <c:v>7000</c:v>
                </c:pt>
                <c:pt idx="34">
                  <c:v>8000</c:v>
                </c:pt>
                <c:pt idx="35">
                  <c:v>9000</c:v>
                </c:pt>
                <c:pt idx="36">
                  <c:v>10000</c:v>
                </c:pt>
                <c:pt idx="37">
                  <c:v>20000</c:v>
                </c:pt>
                <c:pt idx="38">
                  <c:v>30000</c:v>
                </c:pt>
                <c:pt idx="39">
                  <c:v>40000</c:v>
                </c:pt>
                <c:pt idx="40">
                  <c:v>50000</c:v>
                </c:pt>
                <c:pt idx="41">
                  <c:v>60000</c:v>
                </c:pt>
                <c:pt idx="42">
                  <c:v>70000</c:v>
                </c:pt>
                <c:pt idx="43">
                  <c:v>80000</c:v>
                </c:pt>
                <c:pt idx="44">
                  <c:v>90000</c:v>
                </c:pt>
                <c:pt idx="45">
                  <c:v>100000</c:v>
                </c:pt>
                <c:pt idx="46">
                  <c:v>200000</c:v>
                </c:pt>
                <c:pt idx="47">
                  <c:v>300000</c:v>
                </c:pt>
                <c:pt idx="48">
                  <c:v>400000</c:v>
                </c:pt>
                <c:pt idx="49">
                  <c:v>500000</c:v>
                </c:pt>
                <c:pt idx="50">
                  <c:v>600000</c:v>
                </c:pt>
                <c:pt idx="51">
                  <c:v>700000</c:v>
                </c:pt>
                <c:pt idx="52">
                  <c:v>800000</c:v>
                </c:pt>
                <c:pt idx="53">
                  <c:v>900000</c:v>
                </c:pt>
                <c:pt idx="54">
                  <c:v>1000000</c:v>
                </c:pt>
                <c:pt idx="55">
                  <c:v>2000000</c:v>
                </c:pt>
                <c:pt idx="56">
                  <c:v>3000000</c:v>
                </c:pt>
                <c:pt idx="57">
                  <c:v>4000000</c:v>
                </c:pt>
                <c:pt idx="58">
                  <c:v>5000000</c:v>
                </c:pt>
                <c:pt idx="59">
                  <c:v>6000000</c:v>
                </c:pt>
                <c:pt idx="60">
                  <c:v>7000000</c:v>
                </c:pt>
                <c:pt idx="61">
                  <c:v>8000000</c:v>
                </c:pt>
                <c:pt idx="62">
                  <c:v>9000000</c:v>
                </c:pt>
                <c:pt idx="63">
                  <c:v>10000000</c:v>
                </c:pt>
                <c:pt idx="64">
                  <c:v>20000000</c:v>
                </c:pt>
                <c:pt idx="65">
                  <c:v>30000000</c:v>
                </c:pt>
                <c:pt idx="66">
                  <c:v>40000000</c:v>
                </c:pt>
                <c:pt idx="67">
                  <c:v>50000000</c:v>
                </c:pt>
                <c:pt idx="68">
                  <c:v>60000000</c:v>
                </c:pt>
                <c:pt idx="69">
                  <c:v>70000000</c:v>
                </c:pt>
                <c:pt idx="70">
                  <c:v>80000000</c:v>
                </c:pt>
                <c:pt idx="71">
                  <c:v>90000000</c:v>
                </c:pt>
                <c:pt idx="72">
                  <c:v>100000000</c:v>
                </c:pt>
                <c:pt idx="73">
                  <c:v>200000000</c:v>
                </c:pt>
                <c:pt idx="74">
                  <c:v>300000000</c:v>
                </c:pt>
                <c:pt idx="75">
                  <c:v>400000000</c:v>
                </c:pt>
                <c:pt idx="76">
                  <c:v>500000000</c:v>
                </c:pt>
                <c:pt idx="77">
                  <c:v>600000000</c:v>
                </c:pt>
                <c:pt idx="78">
                  <c:v>700000000</c:v>
                </c:pt>
                <c:pt idx="79">
                  <c:v>800000000</c:v>
                </c:pt>
                <c:pt idx="80">
                  <c:v>900000000</c:v>
                </c:pt>
                <c:pt idx="81">
                  <c:v>1000000000</c:v>
                </c:pt>
              </c:numCache>
            </c:numRef>
          </c:xVal>
          <c:yVal>
            <c:numRef>
              <c:f>'Capacitor Impedance'!$AB$6:$AB$87</c:f>
              <c:numCache>
                <c:formatCode>0.000000000000</c:formatCode>
                <c:ptCount val="82"/>
                <c:pt idx="0">
                  <c:v>159154943.09189534</c:v>
                </c:pt>
                <c:pt idx="1">
                  <c:v>79577471.545947671</c:v>
                </c:pt>
                <c:pt idx="2">
                  <c:v>53051647.697298445</c:v>
                </c:pt>
                <c:pt idx="3">
                  <c:v>39788735.772973835</c:v>
                </c:pt>
                <c:pt idx="4">
                  <c:v>31830988.618379071</c:v>
                </c:pt>
                <c:pt idx="5">
                  <c:v>26525823.848649222</c:v>
                </c:pt>
                <c:pt idx="6">
                  <c:v>22736420.441699333</c:v>
                </c:pt>
                <c:pt idx="7">
                  <c:v>19894367.886486918</c:v>
                </c:pt>
                <c:pt idx="8">
                  <c:v>17683882.565766148</c:v>
                </c:pt>
                <c:pt idx="9">
                  <c:v>15915494.309189536</c:v>
                </c:pt>
                <c:pt idx="10">
                  <c:v>7957747.1545947678</c:v>
                </c:pt>
                <c:pt idx="11">
                  <c:v>5305164.7697298452</c:v>
                </c:pt>
                <c:pt idx="12">
                  <c:v>3978873.5772973839</c:v>
                </c:pt>
                <c:pt idx="13">
                  <c:v>3183098.8618379068</c:v>
                </c:pt>
                <c:pt idx="14">
                  <c:v>2652582.3848649226</c:v>
                </c:pt>
                <c:pt idx="15">
                  <c:v>2273642.0441699335</c:v>
                </c:pt>
                <c:pt idx="16">
                  <c:v>1989436.788648692</c:v>
                </c:pt>
                <c:pt idx="17">
                  <c:v>1768388.2565766149</c:v>
                </c:pt>
                <c:pt idx="18">
                  <c:v>1591549.4309189534</c:v>
                </c:pt>
                <c:pt idx="19">
                  <c:v>795774.71545947669</c:v>
                </c:pt>
                <c:pt idx="20">
                  <c:v>530516.4769729845</c:v>
                </c:pt>
                <c:pt idx="21">
                  <c:v>397887.35772973835</c:v>
                </c:pt>
                <c:pt idx="22">
                  <c:v>318309.88618379069</c:v>
                </c:pt>
                <c:pt idx="23">
                  <c:v>265258.23848649225</c:v>
                </c:pt>
                <c:pt idx="24">
                  <c:v>227364.20441699339</c:v>
                </c:pt>
                <c:pt idx="25">
                  <c:v>198943.67886486917</c:v>
                </c:pt>
                <c:pt idx="26">
                  <c:v>176838.82565766151</c:v>
                </c:pt>
                <c:pt idx="27">
                  <c:v>159154.94309189534</c:v>
                </c:pt>
                <c:pt idx="28">
                  <c:v>79577.471545947672</c:v>
                </c:pt>
                <c:pt idx="29">
                  <c:v>53051.647697298446</c:v>
                </c:pt>
                <c:pt idx="30">
                  <c:v>39788.735772973836</c:v>
                </c:pt>
                <c:pt idx="31">
                  <c:v>31830.988618379066</c:v>
                </c:pt>
                <c:pt idx="32">
                  <c:v>26525.823848649223</c:v>
                </c:pt>
                <c:pt idx="33">
                  <c:v>22736.420441699334</c:v>
                </c:pt>
                <c:pt idx="34">
                  <c:v>19894.367886486918</c:v>
                </c:pt>
                <c:pt idx="35">
                  <c:v>17683.882565766147</c:v>
                </c:pt>
                <c:pt idx="36">
                  <c:v>15915.494309189533</c:v>
                </c:pt>
                <c:pt idx="37">
                  <c:v>7957.7471545947665</c:v>
                </c:pt>
                <c:pt idx="38">
                  <c:v>5305.1647697298449</c:v>
                </c:pt>
                <c:pt idx="39">
                  <c:v>3978.8735772973832</c:v>
                </c:pt>
                <c:pt idx="40">
                  <c:v>3183.0988618379074</c:v>
                </c:pt>
                <c:pt idx="41">
                  <c:v>2652.5823848649225</c:v>
                </c:pt>
                <c:pt idx="42">
                  <c:v>2273.6420441699338</c:v>
                </c:pt>
                <c:pt idx="43">
                  <c:v>1989.4367886486916</c:v>
                </c:pt>
                <c:pt idx="44">
                  <c:v>1768.3882565766148</c:v>
                </c:pt>
                <c:pt idx="45">
                  <c:v>1591.5494309189537</c:v>
                </c:pt>
                <c:pt idx="46">
                  <c:v>795.77471545947685</c:v>
                </c:pt>
                <c:pt idx="47">
                  <c:v>530.51647697298449</c:v>
                </c:pt>
                <c:pt idx="48">
                  <c:v>397.88735772973843</c:v>
                </c:pt>
                <c:pt idx="49">
                  <c:v>318.30988618379075</c:v>
                </c:pt>
                <c:pt idx="50">
                  <c:v>265.25823848649225</c:v>
                </c:pt>
                <c:pt idx="51">
                  <c:v>227.3642044169934</c:v>
                </c:pt>
                <c:pt idx="52">
                  <c:v>198.94367886486921</c:v>
                </c:pt>
                <c:pt idx="53">
                  <c:v>176.83882565766152</c:v>
                </c:pt>
                <c:pt idx="54">
                  <c:v>159.15494309189538</c:v>
                </c:pt>
                <c:pt idx="55">
                  <c:v>79.577471545947688</c:v>
                </c:pt>
                <c:pt idx="56">
                  <c:v>53.051647697298449</c:v>
                </c:pt>
                <c:pt idx="57">
                  <c:v>39.788735772973844</c:v>
                </c:pt>
                <c:pt idx="58">
                  <c:v>31.830988618379067</c:v>
                </c:pt>
                <c:pt idx="59">
                  <c:v>26.525823848649225</c:v>
                </c:pt>
                <c:pt idx="60">
                  <c:v>22.736420441699334</c:v>
                </c:pt>
                <c:pt idx="61">
                  <c:v>19.894367886486922</c:v>
                </c:pt>
                <c:pt idx="62">
                  <c:v>17.683882565766151</c:v>
                </c:pt>
                <c:pt idx="63">
                  <c:v>15.915494309189533</c:v>
                </c:pt>
                <c:pt idx="64">
                  <c:v>7.9577471545947667</c:v>
                </c:pt>
                <c:pt idx="65">
                  <c:v>5.3051647697298447</c:v>
                </c:pt>
                <c:pt idx="66">
                  <c:v>3.9788735772973833</c:v>
                </c:pt>
                <c:pt idx="67">
                  <c:v>3.1830988618379075</c:v>
                </c:pt>
                <c:pt idx="68">
                  <c:v>2.6525823848649224</c:v>
                </c:pt>
                <c:pt idx="69">
                  <c:v>2.2736420441699337</c:v>
                </c:pt>
                <c:pt idx="70">
                  <c:v>1.9894367886486917</c:v>
                </c:pt>
                <c:pt idx="71">
                  <c:v>1.7683882565766149</c:v>
                </c:pt>
                <c:pt idx="72">
                  <c:v>1.5915494309189537</c:v>
                </c:pt>
                <c:pt idx="73">
                  <c:v>0.79577471545947687</c:v>
                </c:pt>
                <c:pt idx="74">
                  <c:v>0.53051647697298443</c:v>
                </c:pt>
                <c:pt idx="75">
                  <c:v>0.39788735772973843</c:v>
                </c:pt>
                <c:pt idx="76">
                  <c:v>0.31830988618379069</c:v>
                </c:pt>
                <c:pt idx="77">
                  <c:v>0.26525823848649221</c:v>
                </c:pt>
                <c:pt idx="78">
                  <c:v>0.22736420441699337</c:v>
                </c:pt>
                <c:pt idx="79">
                  <c:v>0.19894367886486922</c:v>
                </c:pt>
                <c:pt idx="80">
                  <c:v>0.17683882565766149</c:v>
                </c:pt>
                <c:pt idx="81">
                  <c:v>0.15915494309189535</c:v>
                </c:pt>
              </c:numCache>
            </c:numRef>
          </c:yVal>
          <c:smooth val="0"/>
          <c:extLst>
            <c:ext xmlns:c16="http://schemas.microsoft.com/office/drawing/2014/chart" uri="{C3380CC4-5D6E-409C-BE32-E72D297353CC}">
              <c16:uniqueId val="{00000012-209E-4F50-82BA-B53BEBD47505}"/>
            </c:ext>
          </c:extLst>
        </c:ser>
        <c:ser>
          <c:idx val="3"/>
          <c:order val="3"/>
          <c:tx>
            <c:strRef>
              <c:f>'Capacitor Impedance'!$AG$3</c:f>
              <c:strCache>
                <c:ptCount val="1"/>
                <c:pt idx="0">
                  <c:v>0.1µF</c:v>
                </c:pt>
              </c:strCache>
            </c:strRef>
          </c:tx>
          <c:spPr>
            <a:ln w="25400" cap="rnd">
              <a:solidFill>
                <a:schemeClr val="accent4"/>
              </a:solidFill>
              <a:round/>
            </a:ln>
            <a:effectLst/>
          </c:spPr>
          <c:marker>
            <c:symbol val="none"/>
          </c:marker>
          <c:xVal>
            <c:numRef>
              <c:f>'Capacitor Impedance'!$Q$6:$Q$87</c:f>
              <c:numCache>
                <c:formatCode>#,##0</c:formatCode>
                <c:ptCount val="82"/>
                <c:pt idx="0">
                  <c:v>1</c:v>
                </c:pt>
                <c:pt idx="1">
                  <c:v>2</c:v>
                </c:pt>
                <c:pt idx="2">
                  <c:v>3</c:v>
                </c:pt>
                <c:pt idx="3">
                  <c:v>4</c:v>
                </c:pt>
                <c:pt idx="4">
                  <c:v>5</c:v>
                </c:pt>
                <c:pt idx="5">
                  <c:v>6</c:v>
                </c:pt>
                <c:pt idx="6">
                  <c:v>7</c:v>
                </c:pt>
                <c:pt idx="7">
                  <c:v>8</c:v>
                </c:pt>
                <c:pt idx="8">
                  <c:v>9</c:v>
                </c:pt>
                <c:pt idx="9">
                  <c:v>10</c:v>
                </c:pt>
                <c:pt idx="10">
                  <c:v>20</c:v>
                </c:pt>
                <c:pt idx="11">
                  <c:v>30</c:v>
                </c:pt>
                <c:pt idx="12">
                  <c:v>40</c:v>
                </c:pt>
                <c:pt idx="13">
                  <c:v>50</c:v>
                </c:pt>
                <c:pt idx="14">
                  <c:v>60</c:v>
                </c:pt>
                <c:pt idx="15">
                  <c:v>70</c:v>
                </c:pt>
                <c:pt idx="16">
                  <c:v>80</c:v>
                </c:pt>
                <c:pt idx="17">
                  <c:v>90</c:v>
                </c:pt>
                <c:pt idx="18">
                  <c:v>100</c:v>
                </c:pt>
                <c:pt idx="19">
                  <c:v>200</c:v>
                </c:pt>
                <c:pt idx="20">
                  <c:v>300</c:v>
                </c:pt>
                <c:pt idx="21">
                  <c:v>400</c:v>
                </c:pt>
                <c:pt idx="22">
                  <c:v>500</c:v>
                </c:pt>
                <c:pt idx="23">
                  <c:v>600</c:v>
                </c:pt>
                <c:pt idx="24">
                  <c:v>700</c:v>
                </c:pt>
                <c:pt idx="25">
                  <c:v>800</c:v>
                </c:pt>
                <c:pt idx="26">
                  <c:v>900</c:v>
                </c:pt>
                <c:pt idx="27">
                  <c:v>1000</c:v>
                </c:pt>
                <c:pt idx="28">
                  <c:v>2000</c:v>
                </c:pt>
                <c:pt idx="29">
                  <c:v>3000</c:v>
                </c:pt>
                <c:pt idx="30">
                  <c:v>4000</c:v>
                </c:pt>
                <c:pt idx="31">
                  <c:v>5000</c:v>
                </c:pt>
                <c:pt idx="32">
                  <c:v>6000</c:v>
                </c:pt>
                <c:pt idx="33">
                  <c:v>7000</c:v>
                </c:pt>
                <c:pt idx="34">
                  <c:v>8000</c:v>
                </c:pt>
                <c:pt idx="35">
                  <c:v>9000</c:v>
                </c:pt>
                <c:pt idx="36">
                  <c:v>10000</c:v>
                </c:pt>
                <c:pt idx="37">
                  <c:v>20000</c:v>
                </c:pt>
                <c:pt idx="38">
                  <c:v>30000</c:v>
                </c:pt>
                <c:pt idx="39">
                  <c:v>40000</c:v>
                </c:pt>
                <c:pt idx="40">
                  <c:v>50000</c:v>
                </c:pt>
                <c:pt idx="41">
                  <c:v>60000</c:v>
                </c:pt>
                <c:pt idx="42">
                  <c:v>70000</c:v>
                </c:pt>
                <c:pt idx="43">
                  <c:v>80000</c:v>
                </c:pt>
                <c:pt idx="44">
                  <c:v>90000</c:v>
                </c:pt>
                <c:pt idx="45">
                  <c:v>100000</c:v>
                </c:pt>
                <c:pt idx="46">
                  <c:v>200000</c:v>
                </c:pt>
                <c:pt idx="47">
                  <c:v>300000</c:v>
                </c:pt>
                <c:pt idx="48">
                  <c:v>400000</c:v>
                </c:pt>
                <c:pt idx="49">
                  <c:v>500000</c:v>
                </c:pt>
                <c:pt idx="50">
                  <c:v>600000</c:v>
                </c:pt>
                <c:pt idx="51">
                  <c:v>700000</c:v>
                </c:pt>
                <c:pt idx="52">
                  <c:v>800000</c:v>
                </c:pt>
                <c:pt idx="53">
                  <c:v>900000</c:v>
                </c:pt>
                <c:pt idx="54">
                  <c:v>1000000</c:v>
                </c:pt>
                <c:pt idx="55">
                  <c:v>2000000</c:v>
                </c:pt>
                <c:pt idx="56">
                  <c:v>3000000</c:v>
                </c:pt>
                <c:pt idx="57">
                  <c:v>4000000</c:v>
                </c:pt>
                <c:pt idx="58">
                  <c:v>5000000</c:v>
                </c:pt>
                <c:pt idx="59">
                  <c:v>6000000</c:v>
                </c:pt>
                <c:pt idx="60">
                  <c:v>7000000</c:v>
                </c:pt>
                <c:pt idx="61">
                  <c:v>8000000</c:v>
                </c:pt>
                <c:pt idx="62">
                  <c:v>9000000</c:v>
                </c:pt>
                <c:pt idx="63">
                  <c:v>10000000</c:v>
                </c:pt>
                <c:pt idx="64">
                  <c:v>20000000</c:v>
                </c:pt>
                <c:pt idx="65">
                  <c:v>30000000</c:v>
                </c:pt>
                <c:pt idx="66">
                  <c:v>40000000</c:v>
                </c:pt>
                <c:pt idx="67">
                  <c:v>50000000</c:v>
                </c:pt>
                <c:pt idx="68">
                  <c:v>60000000</c:v>
                </c:pt>
                <c:pt idx="69">
                  <c:v>70000000</c:v>
                </c:pt>
                <c:pt idx="70">
                  <c:v>80000000</c:v>
                </c:pt>
                <c:pt idx="71">
                  <c:v>90000000</c:v>
                </c:pt>
                <c:pt idx="72">
                  <c:v>100000000</c:v>
                </c:pt>
                <c:pt idx="73">
                  <c:v>200000000</c:v>
                </c:pt>
                <c:pt idx="74">
                  <c:v>300000000</c:v>
                </c:pt>
                <c:pt idx="75">
                  <c:v>400000000</c:v>
                </c:pt>
                <c:pt idx="76">
                  <c:v>500000000</c:v>
                </c:pt>
                <c:pt idx="77">
                  <c:v>600000000</c:v>
                </c:pt>
                <c:pt idx="78">
                  <c:v>700000000</c:v>
                </c:pt>
                <c:pt idx="79">
                  <c:v>800000000</c:v>
                </c:pt>
                <c:pt idx="80">
                  <c:v>900000000</c:v>
                </c:pt>
                <c:pt idx="81">
                  <c:v>1000000000</c:v>
                </c:pt>
              </c:numCache>
            </c:numRef>
          </c:xVal>
          <c:yVal>
            <c:numRef>
              <c:f>'Capacitor Impedance'!$AG$6:$AG$87</c:f>
              <c:numCache>
                <c:formatCode>0.000000000000</c:formatCode>
                <c:ptCount val="82"/>
                <c:pt idx="0">
                  <c:v>1591549430.9189534</c:v>
                </c:pt>
                <c:pt idx="1">
                  <c:v>795774715.45947671</c:v>
                </c:pt>
                <c:pt idx="2">
                  <c:v>530516476.97298449</c:v>
                </c:pt>
                <c:pt idx="3">
                  <c:v>397887357.72973835</c:v>
                </c:pt>
                <c:pt idx="4">
                  <c:v>318309886.18379068</c:v>
                </c:pt>
                <c:pt idx="5">
                  <c:v>265258238.48649225</c:v>
                </c:pt>
                <c:pt idx="6">
                  <c:v>227364204.41699338</c:v>
                </c:pt>
                <c:pt idx="7">
                  <c:v>198943678.86486918</c:v>
                </c:pt>
                <c:pt idx="8">
                  <c:v>176838825.6576615</c:v>
                </c:pt>
                <c:pt idx="9">
                  <c:v>159154943.09189534</c:v>
                </c:pt>
                <c:pt idx="10">
                  <c:v>79577471.545947671</c:v>
                </c:pt>
                <c:pt idx="11">
                  <c:v>53051647.697298445</c:v>
                </c:pt>
                <c:pt idx="12">
                  <c:v>39788735.772973835</c:v>
                </c:pt>
                <c:pt idx="13">
                  <c:v>31830988.618379064</c:v>
                </c:pt>
                <c:pt idx="14">
                  <c:v>26525823.848649222</c:v>
                </c:pt>
                <c:pt idx="15">
                  <c:v>22736420.441699333</c:v>
                </c:pt>
                <c:pt idx="16">
                  <c:v>19894367.886486918</c:v>
                </c:pt>
                <c:pt idx="17">
                  <c:v>17683882.565766148</c:v>
                </c:pt>
                <c:pt idx="18">
                  <c:v>15915494.309189532</c:v>
                </c:pt>
                <c:pt idx="19">
                  <c:v>7957747.154594766</c:v>
                </c:pt>
                <c:pt idx="20">
                  <c:v>5305164.7697298443</c:v>
                </c:pt>
                <c:pt idx="21">
                  <c:v>3978873.577297383</c:v>
                </c:pt>
                <c:pt idx="22">
                  <c:v>3183098.8618379068</c:v>
                </c:pt>
                <c:pt idx="23">
                  <c:v>2652582.3848649221</c:v>
                </c:pt>
                <c:pt idx="24">
                  <c:v>2273642.0441699335</c:v>
                </c:pt>
                <c:pt idx="25">
                  <c:v>1989436.7886486915</c:v>
                </c:pt>
                <c:pt idx="26">
                  <c:v>1768388.2565766149</c:v>
                </c:pt>
                <c:pt idx="27">
                  <c:v>1591549.4309189534</c:v>
                </c:pt>
                <c:pt idx="28">
                  <c:v>795774.71545947669</c:v>
                </c:pt>
                <c:pt idx="29">
                  <c:v>530516.4769729845</c:v>
                </c:pt>
                <c:pt idx="30">
                  <c:v>397887.35772973835</c:v>
                </c:pt>
                <c:pt idx="31">
                  <c:v>318309.88618379069</c:v>
                </c:pt>
                <c:pt idx="32">
                  <c:v>265258.23848649225</c:v>
                </c:pt>
                <c:pt idx="33">
                  <c:v>227364.20441699339</c:v>
                </c:pt>
                <c:pt idx="34">
                  <c:v>198943.67886486917</c:v>
                </c:pt>
                <c:pt idx="35">
                  <c:v>176838.82565766148</c:v>
                </c:pt>
                <c:pt idx="36">
                  <c:v>159154.94309189534</c:v>
                </c:pt>
                <c:pt idx="37">
                  <c:v>79577.471545947672</c:v>
                </c:pt>
                <c:pt idx="38">
                  <c:v>53051.647697298446</c:v>
                </c:pt>
                <c:pt idx="39">
                  <c:v>39788.735772973836</c:v>
                </c:pt>
                <c:pt idx="40">
                  <c:v>31830.988618379066</c:v>
                </c:pt>
                <c:pt idx="41">
                  <c:v>26525.823848649223</c:v>
                </c:pt>
                <c:pt idx="42">
                  <c:v>22736.420441699334</c:v>
                </c:pt>
                <c:pt idx="43">
                  <c:v>19894.367886486918</c:v>
                </c:pt>
                <c:pt idx="44">
                  <c:v>17683.882565766147</c:v>
                </c:pt>
                <c:pt idx="45">
                  <c:v>15915.494309189533</c:v>
                </c:pt>
                <c:pt idx="46">
                  <c:v>7957.7471545947665</c:v>
                </c:pt>
                <c:pt idx="47">
                  <c:v>5305.1647697298449</c:v>
                </c:pt>
                <c:pt idx="48">
                  <c:v>3978.8735772973832</c:v>
                </c:pt>
                <c:pt idx="49">
                  <c:v>3183.0988618379074</c:v>
                </c:pt>
                <c:pt idx="50">
                  <c:v>2652.5823848649225</c:v>
                </c:pt>
                <c:pt idx="51">
                  <c:v>2273.6420441699338</c:v>
                </c:pt>
                <c:pt idx="52">
                  <c:v>1989.4367886486916</c:v>
                </c:pt>
                <c:pt idx="53">
                  <c:v>1768.3882565766148</c:v>
                </c:pt>
                <c:pt idx="54">
                  <c:v>1591.5494309189537</c:v>
                </c:pt>
                <c:pt idx="55">
                  <c:v>795.77471545947685</c:v>
                </c:pt>
                <c:pt idx="56">
                  <c:v>530.51647697298438</c:v>
                </c:pt>
                <c:pt idx="57">
                  <c:v>397.88735772973843</c:v>
                </c:pt>
                <c:pt idx="58">
                  <c:v>318.30988618379064</c:v>
                </c:pt>
                <c:pt idx="59">
                  <c:v>265.25823848649219</c:v>
                </c:pt>
                <c:pt idx="60">
                  <c:v>227.36420441699335</c:v>
                </c:pt>
                <c:pt idx="61">
                  <c:v>198.94367886486921</c:v>
                </c:pt>
                <c:pt idx="62">
                  <c:v>176.83882565766152</c:v>
                </c:pt>
                <c:pt idx="63">
                  <c:v>159.15494309189532</c:v>
                </c:pt>
                <c:pt idx="64">
                  <c:v>79.57747154594766</c:v>
                </c:pt>
                <c:pt idx="65">
                  <c:v>53.051647697298449</c:v>
                </c:pt>
                <c:pt idx="66">
                  <c:v>39.78873577297383</c:v>
                </c:pt>
                <c:pt idx="67">
                  <c:v>31.83098861837907</c:v>
                </c:pt>
                <c:pt idx="68">
                  <c:v>26.525823848649225</c:v>
                </c:pt>
                <c:pt idx="69">
                  <c:v>22.73642044169933</c:v>
                </c:pt>
                <c:pt idx="70">
                  <c:v>19.894367886486915</c:v>
                </c:pt>
                <c:pt idx="71">
                  <c:v>17.683882565766147</c:v>
                </c:pt>
                <c:pt idx="72">
                  <c:v>15.915494309189535</c:v>
                </c:pt>
                <c:pt idx="73">
                  <c:v>7.9577471545947676</c:v>
                </c:pt>
                <c:pt idx="74">
                  <c:v>5.3051647697298447</c:v>
                </c:pt>
                <c:pt idx="75">
                  <c:v>3.9788735772973838</c:v>
                </c:pt>
                <c:pt idx="76">
                  <c:v>3.1830988618379066</c:v>
                </c:pt>
                <c:pt idx="77">
                  <c:v>2.6525823848649224</c:v>
                </c:pt>
                <c:pt idx="78">
                  <c:v>2.2736420441699337</c:v>
                </c:pt>
                <c:pt idx="79">
                  <c:v>1.9894367886486919</c:v>
                </c:pt>
                <c:pt idx="80">
                  <c:v>1.7683882565766145</c:v>
                </c:pt>
                <c:pt idx="81">
                  <c:v>1.5915494309189533</c:v>
                </c:pt>
              </c:numCache>
            </c:numRef>
          </c:yVal>
          <c:smooth val="0"/>
          <c:extLst>
            <c:ext xmlns:c16="http://schemas.microsoft.com/office/drawing/2014/chart" uri="{C3380CC4-5D6E-409C-BE32-E72D297353CC}">
              <c16:uniqueId val="{00000013-209E-4F50-82BA-B53BEBD47505}"/>
            </c:ext>
          </c:extLst>
        </c:ser>
        <c:ser>
          <c:idx val="4"/>
          <c:order val="4"/>
          <c:tx>
            <c:strRef>
              <c:f>'Capacitor Impedance'!$AL$3</c:f>
              <c:strCache>
                <c:ptCount val="1"/>
                <c:pt idx="0">
                  <c:v>0.01µF</c:v>
                </c:pt>
              </c:strCache>
            </c:strRef>
          </c:tx>
          <c:spPr>
            <a:ln w="25400" cap="rnd">
              <a:solidFill>
                <a:schemeClr val="accent5"/>
              </a:solidFill>
              <a:round/>
            </a:ln>
            <a:effectLst/>
          </c:spPr>
          <c:marker>
            <c:symbol val="none"/>
          </c:marker>
          <c:xVal>
            <c:numRef>
              <c:f>'Capacitor Impedance'!$Q$6:$Q$87</c:f>
              <c:numCache>
                <c:formatCode>#,##0</c:formatCode>
                <c:ptCount val="82"/>
                <c:pt idx="0">
                  <c:v>1</c:v>
                </c:pt>
                <c:pt idx="1">
                  <c:v>2</c:v>
                </c:pt>
                <c:pt idx="2">
                  <c:v>3</c:v>
                </c:pt>
                <c:pt idx="3">
                  <c:v>4</c:v>
                </c:pt>
                <c:pt idx="4">
                  <c:v>5</c:v>
                </c:pt>
                <c:pt idx="5">
                  <c:v>6</c:v>
                </c:pt>
                <c:pt idx="6">
                  <c:v>7</c:v>
                </c:pt>
                <c:pt idx="7">
                  <c:v>8</c:v>
                </c:pt>
                <c:pt idx="8">
                  <c:v>9</c:v>
                </c:pt>
                <c:pt idx="9">
                  <c:v>10</c:v>
                </c:pt>
                <c:pt idx="10">
                  <c:v>20</c:v>
                </c:pt>
                <c:pt idx="11">
                  <c:v>30</c:v>
                </c:pt>
                <c:pt idx="12">
                  <c:v>40</c:v>
                </c:pt>
                <c:pt idx="13">
                  <c:v>50</c:v>
                </c:pt>
                <c:pt idx="14">
                  <c:v>60</c:v>
                </c:pt>
                <c:pt idx="15">
                  <c:v>70</c:v>
                </c:pt>
                <c:pt idx="16">
                  <c:v>80</c:v>
                </c:pt>
                <c:pt idx="17">
                  <c:v>90</c:v>
                </c:pt>
                <c:pt idx="18">
                  <c:v>100</c:v>
                </c:pt>
                <c:pt idx="19">
                  <c:v>200</c:v>
                </c:pt>
                <c:pt idx="20">
                  <c:v>300</c:v>
                </c:pt>
                <c:pt idx="21">
                  <c:v>400</c:v>
                </c:pt>
                <c:pt idx="22">
                  <c:v>500</c:v>
                </c:pt>
                <c:pt idx="23">
                  <c:v>600</c:v>
                </c:pt>
                <c:pt idx="24">
                  <c:v>700</c:v>
                </c:pt>
                <c:pt idx="25">
                  <c:v>800</c:v>
                </c:pt>
                <c:pt idx="26">
                  <c:v>900</c:v>
                </c:pt>
                <c:pt idx="27">
                  <c:v>1000</c:v>
                </c:pt>
                <c:pt idx="28">
                  <c:v>2000</c:v>
                </c:pt>
                <c:pt idx="29">
                  <c:v>3000</c:v>
                </c:pt>
                <c:pt idx="30">
                  <c:v>4000</c:v>
                </c:pt>
                <c:pt idx="31">
                  <c:v>5000</c:v>
                </c:pt>
                <c:pt idx="32">
                  <c:v>6000</c:v>
                </c:pt>
                <c:pt idx="33">
                  <c:v>7000</c:v>
                </c:pt>
                <c:pt idx="34">
                  <c:v>8000</c:v>
                </c:pt>
                <c:pt idx="35">
                  <c:v>9000</c:v>
                </c:pt>
                <c:pt idx="36">
                  <c:v>10000</c:v>
                </c:pt>
                <c:pt idx="37">
                  <c:v>20000</c:v>
                </c:pt>
                <c:pt idx="38">
                  <c:v>30000</c:v>
                </c:pt>
                <c:pt idx="39">
                  <c:v>40000</c:v>
                </c:pt>
                <c:pt idx="40">
                  <c:v>50000</c:v>
                </c:pt>
                <c:pt idx="41">
                  <c:v>60000</c:v>
                </c:pt>
                <c:pt idx="42">
                  <c:v>70000</c:v>
                </c:pt>
                <c:pt idx="43">
                  <c:v>80000</c:v>
                </c:pt>
                <c:pt idx="44">
                  <c:v>90000</c:v>
                </c:pt>
                <c:pt idx="45">
                  <c:v>100000</c:v>
                </c:pt>
                <c:pt idx="46">
                  <c:v>200000</c:v>
                </c:pt>
                <c:pt idx="47">
                  <c:v>300000</c:v>
                </c:pt>
                <c:pt idx="48">
                  <c:v>400000</c:v>
                </c:pt>
                <c:pt idx="49">
                  <c:v>500000</c:v>
                </c:pt>
                <c:pt idx="50">
                  <c:v>600000</c:v>
                </c:pt>
                <c:pt idx="51">
                  <c:v>700000</c:v>
                </c:pt>
                <c:pt idx="52">
                  <c:v>800000</c:v>
                </c:pt>
                <c:pt idx="53">
                  <c:v>900000</c:v>
                </c:pt>
                <c:pt idx="54">
                  <c:v>1000000</c:v>
                </c:pt>
                <c:pt idx="55">
                  <c:v>2000000</c:v>
                </c:pt>
                <c:pt idx="56">
                  <c:v>3000000</c:v>
                </c:pt>
                <c:pt idx="57">
                  <c:v>4000000</c:v>
                </c:pt>
                <c:pt idx="58">
                  <c:v>5000000</c:v>
                </c:pt>
                <c:pt idx="59">
                  <c:v>6000000</c:v>
                </c:pt>
                <c:pt idx="60">
                  <c:v>7000000</c:v>
                </c:pt>
                <c:pt idx="61">
                  <c:v>8000000</c:v>
                </c:pt>
                <c:pt idx="62">
                  <c:v>9000000</c:v>
                </c:pt>
                <c:pt idx="63">
                  <c:v>10000000</c:v>
                </c:pt>
                <c:pt idx="64">
                  <c:v>20000000</c:v>
                </c:pt>
                <c:pt idx="65">
                  <c:v>30000000</c:v>
                </c:pt>
                <c:pt idx="66">
                  <c:v>40000000</c:v>
                </c:pt>
                <c:pt idx="67">
                  <c:v>50000000</c:v>
                </c:pt>
                <c:pt idx="68">
                  <c:v>60000000</c:v>
                </c:pt>
                <c:pt idx="69">
                  <c:v>70000000</c:v>
                </c:pt>
                <c:pt idx="70">
                  <c:v>80000000</c:v>
                </c:pt>
                <c:pt idx="71">
                  <c:v>90000000</c:v>
                </c:pt>
                <c:pt idx="72">
                  <c:v>100000000</c:v>
                </c:pt>
                <c:pt idx="73">
                  <c:v>200000000</c:v>
                </c:pt>
                <c:pt idx="74">
                  <c:v>300000000</c:v>
                </c:pt>
                <c:pt idx="75">
                  <c:v>400000000</c:v>
                </c:pt>
                <c:pt idx="76">
                  <c:v>500000000</c:v>
                </c:pt>
                <c:pt idx="77">
                  <c:v>600000000</c:v>
                </c:pt>
                <c:pt idx="78">
                  <c:v>700000000</c:v>
                </c:pt>
                <c:pt idx="79">
                  <c:v>800000000</c:v>
                </c:pt>
                <c:pt idx="80">
                  <c:v>900000000</c:v>
                </c:pt>
                <c:pt idx="81">
                  <c:v>1000000000</c:v>
                </c:pt>
              </c:numCache>
            </c:numRef>
          </c:xVal>
          <c:yVal>
            <c:numRef>
              <c:f>'Capacitor Impedance'!$AL$6:$AL$87</c:f>
              <c:numCache>
                <c:formatCode>0.000000000000</c:formatCode>
                <c:ptCount val="82"/>
                <c:pt idx="0">
                  <c:v>15915494309.189535</c:v>
                </c:pt>
                <c:pt idx="1">
                  <c:v>7957747154.5947676</c:v>
                </c:pt>
                <c:pt idx="2">
                  <c:v>5305164769.7298441</c:v>
                </c:pt>
                <c:pt idx="3">
                  <c:v>3978873577.2973838</c:v>
                </c:pt>
                <c:pt idx="4">
                  <c:v>3183098861.8379068</c:v>
                </c:pt>
                <c:pt idx="5">
                  <c:v>2652582384.864922</c:v>
                </c:pt>
                <c:pt idx="6">
                  <c:v>2273642044.1699333</c:v>
                </c:pt>
                <c:pt idx="7">
                  <c:v>1989436788.6486919</c:v>
                </c:pt>
                <c:pt idx="8">
                  <c:v>1768388256.5766149</c:v>
                </c:pt>
                <c:pt idx="9">
                  <c:v>1591549430.9189534</c:v>
                </c:pt>
                <c:pt idx="10">
                  <c:v>795774715.45947671</c:v>
                </c:pt>
                <c:pt idx="11">
                  <c:v>530516476.97298449</c:v>
                </c:pt>
                <c:pt idx="12">
                  <c:v>397887357.72973835</c:v>
                </c:pt>
                <c:pt idx="13">
                  <c:v>318309886.18379068</c:v>
                </c:pt>
                <c:pt idx="14">
                  <c:v>265258238.48649225</c:v>
                </c:pt>
                <c:pt idx="15">
                  <c:v>227364204.41699338</c:v>
                </c:pt>
                <c:pt idx="16">
                  <c:v>198943678.86486918</c:v>
                </c:pt>
                <c:pt idx="17">
                  <c:v>176838825.6576615</c:v>
                </c:pt>
                <c:pt idx="18">
                  <c:v>159154943.09189534</c:v>
                </c:pt>
                <c:pt idx="19">
                  <c:v>79577471.545947671</c:v>
                </c:pt>
                <c:pt idx="20">
                  <c:v>53051647.697298445</c:v>
                </c:pt>
                <c:pt idx="21">
                  <c:v>39788735.772973835</c:v>
                </c:pt>
                <c:pt idx="22">
                  <c:v>31830988.618379071</c:v>
                </c:pt>
                <c:pt idx="23">
                  <c:v>26525823.848649222</c:v>
                </c:pt>
                <c:pt idx="24">
                  <c:v>22736420.441699333</c:v>
                </c:pt>
                <c:pt idx="25">
                  <c:v>19894367.886486918</c:v>
                </c:pt>
                <c:pt idx="26">
                  <c:v>17683882.565766148</c:v>
                </c:pt>
                <c:pt idx="27">
                  <c:v>15915494.309189536</c:v>
                </c:pt>
                <c:pt idx="28">
                  <c:v>7957747.1545947678</c:v>
                </c:pt>
                <c:pt idx="29">
                  <c:v>5305164.7697298443</c:v>
                </c:pt>
                <c:pt idx="30">
                  <c:v>3978873.5772973839</c:v>
                </c:pt>
                <c:pt idx="31">
                  <c:v>3183098.8618379068</c:v>
                </c:pt>
                <c:pt idx="32">
                  <c:v>2652582.3848649221</c:v>
                </c:pt>
                <c:pt idx="33">
                  <c:v>2273642.0441699335</c:v>
                </c:pt>
                <c:pt idx="34">
                  <c:v>1989436.788648692</c:v>
                </c:pt>
                <c:pt idx="35">
                  <c:v>1768388.2565766149</c:v>
                </c:pt>
                <c:pt idx="36">
                  <c:v>1591549.4309189534</c:v>
                </c:pt>
                <c:pt idx="37">
                  <c:v>795774.71545947669</c:v>
                </c:pt>
                <c:pt idx="38">
                  <c:v>530516.4769729845</c:v>
                </c:pt>
                <c:pt idx="39">
                  <c:v>397887.35772973835</c:v>
                </c:pt>
                <c:pt idx="40">
                  <c:v>318309.88618379069</c:v>
                </c:pt>
                <c:pt idx="41">
                  <c:v>265258.23848649225</c:v>
                </c:pt>
                <c:pt idx="42">
                  <c:v>227364.20441699339</c:v>
                </c:pt>
                <c:pt idx="43">
                  <c:v>198943.67886486917</c:v>
                </c:pt>
                <c:pt idx="44">
                  <c:v>176838.82565766148</c:v>
                </c:pt>
                <c:pt idx="45">
                  <c:v>159154.94309189534</c:v>
                </c:pt>
                <c:pt idx="46">
                  <c:v>79577.471545947672</c:v>
                </c:pt>
                <c:pt idx="47">
                  <c:v>53051.647697298446</c:v>
                </c:pt>
                <c:pt idx="48">
                  <c:v>39788.735772973836</c:v>
                </c:pt>
                <c:pt idx="49">
                  <c:v>31830.988618379066</c:v>
                </c:pt>
                <c:pt idx="50">
                  <c:v>26525.823848649223</c:v>
                </c:pt>
                <c:pt idx="51">
                  <c:v>22736.420441699334</c:v>
                </c:pt>
                <c:pt idx="52">
                  <c:v>19894.367886486918</c:v>
                </c:pt>
                <c:pt idx="53">
                  <c:v>17683.882565766151</c:v>
                </c:pt>
                <c:pt idx="54">
                  <c:v>15915.494309189533</c:v>
                </c:pt>
                <c:pt idx="55">
                  <c:v>7957.7471545947665</c:v>
                </c:pt>
                <c:pt idx="56">
                  <c:v>5305.1647697298449</c:v>
                </c:pt>
                <c:pt idx="57">
                  <c:v>3978.8735772973832</c:v>
                </c:pt>
                <c:pt idx="58">
                  <c:v>3183.098861837907</c:v>
                </c:pt>
                <c:pt idx="59">
                  <c:v>2652.5823848649225</c:v>
                </c:pt>
                <c:pt idx="60">
                  <c:v>2273.6420441699338</c:v>
                </c:pt>
                <c:pt idx="61">
                  <c:v>1989.4367886486916</c:v>
                </c:pt>
                <c:pt idx="62">
                  <c:v>1768.3882565766148</c:v>
                </c:pt>
                <c:pt idx="63">
                  <c:v>1591.5494309189535</c:v>
                </c:pt>
                <c:pt idx="64">
                  <c:v>795.77471545947674</c:v>
                </c:pt>
                <c:pt idx="65">
                  <c:v>530.51647697298449</c:v>
                </c:pt>
                <c:pt idx="66">
                  <c:v>397.88735772973837</c:v>
                </c:pt>
                <c:pt idx="67">
                  <c:v>318.30988618379075</c:v>
                </c:pt>
                <c:pt idx="68">
                  <c:v>265.25823848649225</c:v>
                </c:pt>
                <c:pt idx="69">
                  <c:v>227.36420441699335</c:v>
                </c:pt>
                <c:pt idx="70">
                  <c:v>198.94367886486918</c:v>
                </c:pt>
                <c:pt idx="71">
                  <c:v>176.83882565766152</c:v>
                </c:pt>
                <c:pt idx="72">
                  <c:v>159.15494309189538</c:v>
                </c:pt>
                <c:pt idx="73">
                  <c:v>79.577471545947688</c:v>
                </c:pt>
                <c:pt idx="74">
                  <c:v>53.051647697298449</c:v>
                </c:pt>
                <c:pt idx="75">
                  <c:v>39.788735772973844</c:v>
                </c:pt>
                <c:pt idx="76">
                  <c:v>31.830988618379067</c:v>
                </c:pt>
                <c:pt idx="77">
                  <c:v>26.525823848649225</c:v>
                </c:pt>
                <c:pt idx="78">
                  <c:v>22.736420441699334</c:v>
                </c:pt>
                <c:pt idx="79">
                  <c:v>19.894367886486922</c:v>
                </c:pt>
                <c:pt idx="80">
                  <c:v>17.683882565766147</c:v>
                </c:pt>
                <c:pt idx="81">
                  <c:v>15.915494309189533</c:v>
                </c:pt>
              </c:numCache>
            </c:numRef>
          </c:yVal>
          <c:smooth val="0"/>
          <c:extLst>
            <c:ext xmlns:c16="http://schemas.microsoft.com/office/drawing/2014/chart" uri="{C3380CC4-5D6E-409C-BE32-E72D297353CC}">
              <c16:uniqueId val="{00000014-209E-4F50-82BA-B53BEBD47505}"/>
            </c:ext>
          </c:extLst>
        </c:ser>
        <c:ser>
          <c:idx val="5"/>
          <c:order val="5"/>
          <c:tx>
            <c:strRef>
              <c:f>'Capacitor Impedance'!$AQ$3</c:f>
              <c:strCache>
                <c:ptCount val="1"/>
                <c:pt idx="0">
                  <c:v>0.001µF</c:v>
                </c:pt>
              </c:strCache>
            </c:strRef>
          </c:tx>
          <c:spPr>
            <a:ln w="25400" cap="rnd">
              <a:solidFill>
                <a:schemeClr val="accent6"/>
              </a:solidFill>
              <a:round/>
            </a:ln>
            <a:effectLst/>
          </c:spPr>
          <c:marker>
            <c:symbol val="none"/>
          </c:marker>
          <c:xVal>
            <c:numRef>
              <c:f>'Capacitor Impedance'!$Q$6:$Q$87</c:f>
              <c:numCache>
                <c:formatCode>#,##0</c:formatCode>
                <c:ptCount val="82"/>
                <c:pt idx="0">
                  <c:v>1</c:v>
                </c:pt>
                <c:pt idx="1">
                  <c:v>2</c:v>
                </c:pt>
                <c:pt idx="2">
                  <c:v>3</c:v>
                </c:pt>
                <c:pt idx="3">
                  <c:v>4</c:v>
                </c:pt>
                <c:pt idx="4">
                  <c:v>5</c:v>
                </c:pt>
                <c:pt idx="5">
                  <c:v>6</c:v>
                </c:pt>
                <c:pt idx="6">
                  <c:v>7</c:v>
                </c:pt>
                <c:pt idx="7">
                  <c:v>8</c:v>
                </c:pt>
                <c:pt idx="8">
                  <c:v>9</c:v>
                </c:pt>
                <c:pt idx="9">
                  <c:v>10</c:v>
                </c:pt>
                <c:pt idx="10">
                  <c:v>20</c:v>
                </c:pt>
                <c:pt idx="11">
                  <c:v>30</c:v>
                </c:pt>
                <c:pt idx="12">
                  <c:v>40</c:v>
                </c:pt>
                <c:pt idx="13">
                  <c:v>50</c:v>
                </c:pt>
                <c:pt idx="14">
                  <c:v>60</c:v>
                </c:pt>
                <c:pt idx="15">
                  <c:v>70</c:v>
                </c:pt>
                <c:pt idx="16">
                  <c:v>80</c:v>
                </c:pt>
                <c:pt idx="17">
                  <c:v>90</c:v>
                </c:pt>
                <c:pt idx="18">
                  <c:v>100</c:v>
                </c:pt>
                <c:pt idx="19">
                  <c:v>200</c:v>
                </c:pt>
                <c:pt idx="20">
                  <c:v>300</c:v>
                </c:pt>
                <c:pt idx="21">
                  <c:v>400</c:v>
                </c:pt>
                <c:pt idx="22">
                  <c:v>500</c:v>
                </c:pt>
                <c:pt idx="23">
                  <c:v>600</c:v>
                </c:pt>
                <c:pt idx="24">
                  <c:v>700</c:v>
                </c:pt>
                <c:pt idx="25">
                  <c:v>800</c:v>
                </c:pt>
                <c:pt idx="26">
                  <c:v>900</c:v>
                </c:pt>
                <c:pt idx="27">
                  <c:v>1000</c:v>
                </c:pt>
                <c:pt idx="28">
                  <c:v>2000</c:v>
                </c:pt>
                <c:pt idx="29">
                  <c:v>3000</c:v>
                </c:pt>
                <c:pt idx="30">
                  <c:v>4000</c:v>
                </c:pt>
                <c:pt idx="31">
                  <c:v>5000</c:v>
                </c:pt>
                <c:pt idx="32">
                  <c:v>6000</c:v>
                </c:pt>
                <c:pt idx="33">
                  <c:v>7000</c:v>
                </c:pt>
                <c:pt idx="34">
                  <c:v>8000</c:v>
                </c:pt>
                <c:pt idx="35">
                  <c:v>9000</c:v>
                </c:pt>
                <c:pt idx="36">
                  <c:v>10000</c:v>
                </c:pt>
                <c:pt idx="37">
                  <c:v>20000</c:v>
                </c:pt>
                <c:pt idx="38">
                  <c:v>30000</c:v>
                </c:pt>
                <c:pt idx="39">
                  <c:v>40000</c:v>
                </c:pt>
                <c:pt idx="40">
                  <c:v>50000</c:v>
                </c:pt>
                <c:pt idx="41">
                  <c:v>60000</c:v>
                </c:pt>
                <c:pt idx="42">
                  <c:v>70000</c:v>
                </c:pt>
                <c:pt idx="43">
                  <c:v>80000</c:v>
                </c:pt>
                <c:pt idx="44">
                  <c:v>90000</c:v>
                </c:pt>
                <c:pt idx="45">
                  <c:v>100000</c:v>
                </c:pt>
                <c:pt idx="46">
                  <c:v>200000</c:v>
                </c:pt>
                <c:pt idx="47">
                  <c:v>300000</c:v>
                </c:pt>
                <c:pt idx="48">
                  <c:v>400000</c:v>
                </c:pt>
                <c:pt idx="49">
                  <c:v>500000</c:v>
                </c:pt>
                <c:pt idx="50">
                  <c:v>600000</c:v>
                </c:pt>
                <c:pt idx="51">
                  <c:v>700000</c:v>
                </c:pt>
                <c:pt idx="52">
                  <c:v>800000</c:v>
                </c:pt>
                <c:pt idx="53">
                  <c:v>900000</c:v>
                </c:pt>
                <c:pt idx="54">
                  <c:v>1000000</c:v>
                </c:pt>
                <c:pt idx="55">
                  <c:v>2000000</c:v>
                </c:pt>
                <c:pt idx="56">
                  <c:v>3000000</c:v>
                </c:pt>
                <c:pt idx="57">
                  <c:v>4000000</c:v>
                </c:pt>
                <c:pt idx="58">
                  <c:v>5000000</c:v>
                </c:pt>
                <c:pt idx="59">
                  <c:v>6000000</c:v>
                </c:pt>
                <c:pt idx="60">
                  <c:v>7000000</c:v>
                </c:pt>
                <c:pt idx="61">
                  <c:v>8000000</c:v>
                </c:pt>
                <c:pt idx="62">
                  <c:v>9000000</c:v>
                </c:pt>
                <c:pt idx="63">
                  <c:v>10000000</c:v>
                </c:pt>
                <c:pt idx="64">
                  <c:v>20000000</c:v>
                </c:pt>
                <c:pt idx="65">
                  <c:v>30000000</c:v>
                </c:pt>
                <c:pt idx="66">
                  <c:v>40000000</c:v>
                </c:pt>
                <c:pt idx="67">
                  <c:v>50000000</c:v>
                </c:pt>
                <c:pt idx="68">
                  <c:v>60000000</c:v>
                </c:pt>
                <c:pt idx="69">
                  <c:v>70000000</c:v>
                </c:pt>
                <c:pt idx="70">
                  <c:v>80000000</c:v>
                </c:pt>
                <c:pt idx="71">
                  <c:v>90000000</c:v>
                </c:pt>
                <c:pt idx="72">
                  <c:v>100000000</c:v>
                </c:pt>
                <c:pt idx="73">
                  <c:v>200000000</c:v>
                </c:pt>
                <c:pt idx="74">
                  <c:v>300000000</c:v>
                </c:pt>
                <c:pt idx="75">
                  <c:v>400000000</c:v>
                </c:pt>
                <c:pt idx="76">
                  <c:v>500000000</c:v>
                </c:pt>
                <c:pt idx="77">
                  <c:v>600000000</c:v>
                </c:pt>
                <c:pt idx="78">
                  <c:v>700000000</c:v>
                </c:pt>
                <c:pt idx="79">
                  <c:v>800000000</c:v>
                </c:pt>
                <c:pt idx="80">
                  <c:v>900000000</c:v>
                </c:pt>
                <c:pt idx="81">
                  <c:v>1000000000</c:v>
                </c:pt>
              </c:numCache>
            </c:numRef>
          </c:xVal>
          <c:yVal>
            <c:numRef>
              <c:f>'Capacitor Impedance'!$AQ$6:$AQ$87</c:f>
              <c:numCache>
                <c:formatCode>0.000000000000</c:formatCode>
                <c:ptCount val="82"/>
                <c:pt idx="0">
                  <c:v>159154943091.89532</c:v>
                </c:pt>
                <c:pt idx="1">
                  <c:v>79577471545.947662</c:v>
                </c:pt>
                <c:pt idx="2">
                  <c:v>53051647697.298454</c:v>
                </c:pt>
                <c:pt idx="3">
                  <c:v>39788735772.973831</c:v>
                </c:pt>
                <c:pt idx="4">
                  <c:v>31830988618.37907</c:v>
                </c:pt>
                <c:pt idx="5">
                  <c:v>26525823848.649227</c:v>
                </c:pt>
                <c:pt idx="6">
                  <c:v>22736420441.699337</c:v>
                </c:pt>
                <c:pt idx="7">
                  <c:v>19894367886.486916</c:v>
                </c:pt>
                <c:pt idx="8">
                  <c:v>17683882565.766151</c:v>
                </c:pt>
                <c:pt idx="9">
                  <c:v>15915494309.189535</c:v>
                </c:pt>
                <c:pt idx="10">
                  <c:v>7957747154.5947676</c:v>
                </c:pt>
                <c:pt idx="11">
                  <c:v>5305164769.729845</c:v>
                </c:pt>
                <c:pt idx="12">
                  <c:v>3978873577.2973838</c:v>
                </c:pt>
                <c:pt idx="13">
                  <c:v>3183098861.8379068</c:v>
                </c:pt>
                <c:pt idx="14">
                  <c:v>2652582384.8649225</c:v>
                </c:pt>
                <c:pt idx="15">
                  <c:v>2273642044.1699333</c:v>
                </c:pt>
                <c:pt idx="16">
                  <c:v>1989436788.6486919</c:v>
                </c:pt>
                <c:pt idx="17">
                  <c:v>1768388256.5766149</c:v>
                </c:pt>
                <c:pt idx="18">
                  <c:v>1591549430.9189534</c:v>
                </c:pt>
                <c:pt idx="19">
                  <c:v>795774715.45947671</c:v>
                </c:pt>
                <c:pt idx="20">
                  <c:v>530516476.97298449</c:v>
                </c:pt>
                <c:pt idx="21">
                  <c:v>397887357.72973835</c:v>
                </c:pt>
                <c:pt idx="22">
                  <c:v>318309886.18379068</c:v>
                </c:pt>
                <c:pt idx="23">
                  <c:v>265258238.48649225</c:v>
                </c:pt>
                <c:pt idx="24">
                  <c:v>227364204.41699338</c:v>
                </c:pt>
                <c:pt idx="25">
                  <c:v>198943678.86486918</c:v>
                </c:pt>
                <c:pt idx="26">
                  <c:v>176838825.6576615</c:v>
                </c:pt>
                <c:pt idx="27">
                  <c:v>159154943.09189534</c:v>
                </c:pt>
                <c:pt idx="28">
                  <c:v>79577471.545947671</c:v>
                </c:pt>
                <c:pt idx="29">
                  <c:v>53051647.697298445</c:v>
                </c:pt>
                <c:pt idx="30">
                  <c:v>39788735.772973835</c:v>
                </c:pt>
                <c:pt idx="31">
                  <c:v>31830988.618379071</c:v>
                </c:pt>
                <c:pt idx="32">
                  <c:v>26525823.848649222</c:v>
                </c:pt>
                <c:pt idx="33">
                  <c:v>22736420.441699333</c:v>
                </c:pt>
                <c:pt idx="34">
                  <c:v>19894367.886486918</c:v>
                </c:pt>
                <c:pt idx="35">
                  <c:v>17683882.565766148</c:v>
                </c:pt>
                <c:pt idx="36">
                  <c:v>15915494.309189536</c:v>
                </c:pt>
                <c:pt idx="37">
                  <c:v>7957747.1545947678</c:v>
                </c:pt>
                <c:pt idx="38">
                  <c:v>5305164.7697298443</c:v>
                </c:pt>
                <c:pt idx="39">
                  <c:v>3978873.5772973839</c:v>
                </c:pt>
                <c:pt idx="40">
                  <c:v>3183098.8618379072</c:v>
                </c:pt>
                <c:pt idx="41">
                  <c:v>2652582.3848649221</c:v>
                </c:pt>
                <c:pt idx="42">
                  <c:v>2273642.0441699335</c:v>
                </c:pt>
                <c:pt idx="43">
                  <c:v>1989436.788648692</c:v>
                </c:pt>
                <c:pt idx="44">
                  <c:v>1768388.2565766149</c:v>
                </c:pt>
                <c:pt idx="45">
                  <c:v>1591549.4309189536</c:v>
                </c:pt>
                <c:pt idx="46">
                  <c:v>795774.71545947681</c:v>
                </c:pt>
                <c:pt idx="47">
                  <c:v>530516.4769729845</c:v>
                </c:pt>
                <c:pt idx="48">
                  <c:v>397887.3577297384</c:v>
                </c:pt>
                <c:pt idx="49">
                  <c:v>318309.88618379069</c:v>
                </c:pt>
                <c:pt idx="50">
                  <c:v>265258.23848649225</c:v>
                </c:pt>
                <c:pt idx="51">
                  <c:v>227364.20441699339</c:v>
                </c:pt>
                <c:pt idx="52">
                  <c:v>198943.6788648692</c:v>
                </c:pt>
                <c:pt idx="53">
                  <c:v>176838.82565766151</c:v>
                </c:pt>
                <c:pt idx="54">
                  <c:v>159154.94309189534</c:v>
                </c:pt>
                <c:pt idx="55">
                  <c:v>79577.471545947672</c:v>
                </c:pt>
                <c:pt idx="56">
                  <c:v>53051.647697298446</c:v>
                </c:pt>
                <c:pt idx="57">
                  <c:v>39788.735772973836</c:v>
                </c:pt>
                <c:pt idx="58">
                  <c:v>31830.988618379066</c:v>
                </c:pt>
                <c:pt idx="59">
                  <c:v>26525.823848649223</c:v>
                </c:pt>
                <c:pt idx="60">
                  <c:v>22736.420441699334</c:v>
                </c:pt>
                <c:pt idx="61">
                  <c:v>19894.367886486918</c:v>
                </c:pt>
                <c:pt idx="62">
                  <c:v>17683.882565766151</c:v>
                </c:pt>
                <c:pt idx="63">
                  <c:v>15915.494309189533</c:v>
                </c:pt>
                <c:pt idx="64">
                  <c:v>7957.7471545947665</c:v>
                </c:pt>
                <c:pt idx="65">
                  <c:v>5305.1647697298449</c:v>
                </c:pt>
                <c:pt idx="66">
                  <c:v>3978.8735772973832</c:v>
                </c:pt>
                <c:pt idx="67">
                  <c:v>3183.0988618379074</c:v>
                </c:pt>
                <c:pt idx="68">
                  <c:v>2652.5823848649225</c:v>
                </c:pt>
                <c:pt idx="69">
                  <c:v>2273.6420441699333</c:v>
                </c:pt>
                <c:pt idx="70">
                  <c:v>1989.4367886486916</c:v>
                </c:pt>
                <c:pt idx="71">
                  <c:v>1768.3882565766148</c:v>
                </c:pt>
                <c:pt idx="72">
                  <c:v>1591.5494309189537</c:v>
                </c:pt>
                <c:pt idx="73">
                  <c:v>795.77471545947685</c:v>
                </c:pt>
                <c:pt idx="74">
                  <c:v>530.51647697298449</c:v>
                </c:pt>
                <c:pt idx="75">
                  <c:v>397.88735772973843</c:v>
                </c:pt>
                <c:pt idx="76">
                  <c:v>318.30988618379064</c:v>
                </c:pt>
                <c:pt idx="77">
                  <c:v>265.25823848649225</c:v>
                </c:pt>
                <c:pt idx="78">
                  <c:v>227.3642044169934</c:v>
                </c:pt>
                <c:pt idx="79">
                  <c:v>198.94367886486921</c:v>
                </c:pt>
                <c:pt idx="80">
                  <c:v>176.83882565766149</c:v>
                </c:pt>
                <c:pt idx="81">
                  <c:v>159.15494309189532</c:v>
                </c:pt>
              </c:numCache>
            </c:numRef>
          </c:yVal>
          <c:smooth val="0"/>
          <c:extLst>
            <c:ext xmlns:c16="http://schemas.microsoft.com/office/drawing/2014/chart" uri="{C3380CC4-5D6E-409C-BE32-E72D297353CC}">
              <c16:uniqueId val="{00000016-209E-4F50-82BA-B53BEBD47505}"/>
            </c:ext>
          </c:extLst>
        </c:ser>
        <c:ser>
          <c:idx val="6"/>
          <c:order val="6"/>
          <c:tx>
            <c:strRef>
              <c:f>'Capacitor Impedance'!$AV$3</c:f>
              <c:strCache>
                <c:ptCount val="1"/>
                <c:pt idx="0">
                  <c:v>0.0001µF</c:v>
                </c:pt>
              </c:strCache>
            </c:strRef>
          </c:tx>
          <c:spPr>
            <a:ln w="25400" cap="rnd">
              <a:solidFill>
                <a:schemeClr val="accent1">
                  <a:lumMod val="60000"/>
                </a:schemeClr>
              </a:solidFill>
              <a:round/>
            </a:ln>
            <a:effectLst/>
          </c:spPr>
          <c:marker>
            <c:symbol val="none"/>
          </c:marker>
          <c:xVal>
            <c:numRef>
              <c:f>'Capacitor Impedance'!$Q$6:$Q$87</c:f>
              <c:numCache>
                <c:formatCode>#,##0</c:formatCode>
                <c:ptCount val="82"/>
                <c:pt idx="0">
                  <c:v>1</c:v>
                </c:pt>
                <c:pt idx="1">
                  <c:v>2</c:v>
                </c:pt>
                <c:pt idx="2">
                  <c:v>3</c:v>
                </c:pt>
                <c:pt idx="3">
                  <c:v>4</c:v>
                </c:pt>
                <c:pt idx="4">
                  <c:v>5</c:v>
                </c:pt>
                <c:pt idx="5">
                  <c:v>6</c:v>
                </c:pt>
                <c:pt idx="6">
                  <c:v>7</c:v>
                </c:pt>
                <c:pt idx="7">
                  <c:v>8</c:v>
                </c:pt>
                <c:pt idx="8">
                  <c:v>9</c:v>
                </c:pt>
                <c:pt idx="9">
                  <c:v>10</c:v>
                </c:pt>
                <c:pt idx="10">
                  <c:v>20</c:v>
                </c:pt>
                <c:pt idx="11">
                  <c:v>30</c:v>
                </c:pt>
                <c:pt idx="12">
                  <c:v>40</c:v>
                </c:pt>
                <c:pt idx="13">
                  <c:v>50</c:v>
                </c:pt>
                <c:pt idx="14">
                  <c:v>60</c:v>
                </c:pt>
                <c:pt idx="15">
                  <c:v>70</c:v>
                </c:pt>
                <c:pt idx="16">
                  <c:v>80</c:v>
                </c:pt>
                <c:pt idx="17">
                  <c:v>90</c:v>
                </c:pt>
                <c:pt idx="18">
                  <c:v>100</c:v>
                </c:pt>
                <c:pt idx="19">
                  <c:v>200</c:v>
                </c:pt>
                <c:pt idx="20">
                  <c:v>300</c:v>
                </c:pt>
                <c:pt idx="21">
                  <c:v>400</c:v>
                </c:pt>
                <c:pt idx="22">
                  <c:v>500</c:v>
                </c:pt>
                <c:pt idx="23">
                  <c:v>600</c:v>
                </c:pt>
                <c:pt idx="24">
                  <c:v>700</c:v>
                </c:pt>
                <c:pt idx="25">
                  <c:v>800</c:v>
                </c:pt>
                <c:pt idx="26">
                  <c:v>900</c:v>
                </c:pt>
                <c:pt idx="27">
                  <c:v>1000</c:v>
                </c:pt>
                <c:pt idx="28">
                  <c:v>2000</c:v>
                </c:pt>
                <c:pt idx="29">
                  <c:v>3000</c:v>
                </c:pt>
                <c:pt idx="30">
                  <c:v>4000</c:v>
                </c:pt>
                <c:pt idx="31">
                  <c:v>5000</c:v>
                </c:pt>
                <c:pt idx="32">
                  <c:v>6000</c:v>
                </c:pt>
                <c:pt idx="33">
                  <c:v>7000</c:v>
                </c:pt>
                <c:pt idx="34">
                  <c:v>8000</c:v>
                </c:pt>
                <c:pt idx="35">
                  <c:v>9000</c:v>
                </c:pt>
                <c:pt idx="36">
                  <c:v>10000</c:v>
                </c:pt>
                <c:pt idx="37">
                  <c:v>20000</c:v>
                </c:pt>
                <c:pt idx="38">
                  <c:v>30000</c:v>
                </c:pt>
                <c:pt idx="39">
                  <c:v>40000</c:v>
                </c:pt>
                <c:pt idx="40">
                  <c:v>50000</c:v>
                </c:pt>
                <c:pt idx="41">
                  <c:v>60000</c:v>
                </c:pt>
                <c:pt idx="42">
                  <c:v>70000</c:v>
                </c:pt>
                <c:pt idx="43">
                  <c:v>80000</c:v>
                </c:pt>
                <c:pt idx="44">
                  <c:v>90000</c:v>
                </c:pt>
                <c:pt idx="45">
                  <c:v>100000</c:v>
                </c:pt>
                <c:pt idx="46">
                  <c:v>200000</c:v>
                </c:pt>
                <c:pt idx="47">
                  <c:v>300000</c:v>
                </c:pt>
                <c:pt idx="48">
                  <c:v>400000</c:v>
                </c:pt>
                <c:pt idx="49">
                  <c:v>500000</c:v>
                </c:pt>
                <c:pt idx="50">
                  <c:v>600000</c:v>
                </c:pt>
                <c:pt idx="51">
                  <c:v>700000</c:v>
                </c:pt>
                <c:pt idx="52">
                  <c:v>800000</c:v>
                </c:pt>
                <c:pt idx="53">
                  <c:v>900000</c:v>
                </c:pt>
                <c:pt idx="54">
                  <c:v>1000000</c:v>
                </c:pt>
                <c:pt idx="55">
                  <c:v>2000000</c:v>
                </c:pt>
                <c:pt idx="56">
                  <c:v>3000000</c:v>
                </c:pt>
                <c:pt idx="57">
                  <c:v>4000000</c:v>
                </c:pt>
                <c:pt idx="58">
                  <c:v>5000000</c:v>
                </c:pt>
                <c:pt idx="59">
                  <c:v>6000000</c:v>
                </c:pt>
                <c:pt idx="60">
                  <c:v>7000000</c:v>
                </c:pt>
                <c:pt idx="61">
                  <c:v>8000000</c:v>
                </c:pt>
                <c:pt idx="62">
                  <c:v>9000000</c:v>
                </c:pt>
                <c:pt idx="63">
                  <c:v>10000000</c:v>
                </c:pt>
                <c:pt idx="64">
                  <c:v>20000000</c:v>
                </c:pt>
                <c:pt idx="65">
                  <c:v>30000000</c:v>
                </c:pt>
                <c:pt idx="66">
                  <c:v>40000000</c:v>
                </c:pt>
                <c:pt idx="67">
                  <c:v>50000000</c:v>
                </c:pt>
                <c:pt idx="68">
                  <c:v>60000000</c:v>
                </c:pt>
                <c:pt idx="69">
                  <c:v>70000000</c:v>
                </c:pt>
                <c:pt idx="70">
                  <c:v>80000000</c:v>
                </c:pt>
                <c:pt idx="71">
                  <c:v>90000000</c:v>
                </c:pt>
                <c:pt idx="72">
                  <c:v>100000000</c:v>
                </c:pt>
                <c:pt idx="73">
                  <c:v>200000000</c:v>
                </c:pt>
                <c:pt idx="74">
                  <c:v>300000000</c:v>
                </c:pt>
                <c:pt idx="75">
                  <c:v>400000000</c:v>
                </c:pt>
                <c:pt idx="76">
                  <c:v>500000000</c:v>
                </c:pt>
                <c:pt idx="77">
                  <c:v>600000000</c:v>
                </c:pt>
                <c:pt idx="78">
                  <c:v>700000000</c:v>
                </c:pt>
                <c:pt idx="79">
                  <c:v>800000000</c:v>
                </c:pt>
                <c:pt idx="80">
                  <c:v>900000000</c:v>
                </c:pt>
                <c:pt idx="81">
                  <c:v>1000000000</c:v>
                </c:pt>
              </c:numCache>
            </c:numRef>
          </c:xVal>
          <c:yVal>
            <c:numRef>
              <c:f>'Capacitor Impedance'!$AV$6:$AV$87</c:f>
              <c:numCache>
                <c:formatCode>0.000000000000</c:formatCode>
                <c:ptCount val="82"/>
                <c:pt idx="0">
                  <c:v>1591549430918.9536</c:v>
                </c:pt>
                <c:pt idx="1">
                  <c:v>795774715459.47681</c:v>
                </c:pt>
                <c:pt idx="2">
                  <c:v>530516476972.9845</c:v>
                </c:pt>
                <c:pt idx="3">
                  <c:v>397887357729.7384</c:v>
                </c:pt>
                <c:pt idx="4">
                  <c:v>318309886183.79065</c:v>
                </c:pt>
                <c:pt idx="5">
                  <c:v>265258238486.49225</c:v>
                </c:pt>
                <c:pt idx="6">
                  <c:v>227364204416.99335</c:v>
                </c:pt>
                <c:pt idx="7">
                  <c:v>198943678864.8692</c:v>
                </c:pt>
                <c:pt idx="8">
                  <c:v>176838825657.66147</c:v>
                </c:pt>
                <c:pt idx="9">
                  <c:v>159154943091.89532</c:v>
                </c:pt>
                <c:pt idx="10">
                  <c:v>79577471545.947662</c:v>
                </c:pt>
                <c:pt idx="11">
                  <c:v>53051647697.298454</c:v>
                </c:pt>
                <c:pt idx="12">
                  <c:v>39788735772.973831</c:v>
                </c:pt>
                <c:pt idx="13">
                  <c:v>31830988618.37907</c:v>
                </c:pt>
                <c:pt idx="14">
                  <c:v>26525823848.649227</c:v>
                </c:pt>
                <c:pt idx="15">
                  <c:v>22736420441.699337</c:v>
                </c:pt>
                <c:pt idx="16">
                  <c:v>19894367886.486916</c:v>
                </c:pt>
                <c:pt idx="17">
                  <c:v>17683882565.766151</c:v>
                </c:pt>
                <c:pt idx="18">
                  <c:v>15915494309.189535</c:v>
                </c:pt>
                <c:pt idx="19">
                  <c:v>7957747154.5947676</c:v>
                </c:pt>
                <c:pt idx="20">
                  <c:v>5305164769.7298441</c:v>
                </c:pt>
                <c:pt idx="21">
                  <c:v>3978873577.2973838</c:v>
                </c:pt>
                <c:pt idx="22">
                  <c:v>3183098861.8379068</c:v>
                </c:pt>
                <c:pt idx="23">
                  <c:v>2652582384.864922</c:v>
                </c:pt>
                <c:pt idx="24">
                  <c:v>2273642044.1699333</c:v>
                </c:pt>
                <c:pt idx="25">
                  <c:v>1989436788.6486919</c:v>
                </c:pt>
                <c:pt idx="26">
                  <c:v>1768388256.5766149</c:v>
                </c:pt>
                <c:pt idx="27">
                  <c:v>1591549430.9189534</c:v>
                </c:pt>
                <c:pt idx="28">
                  <c:v>795774715.45947671</c:v>
                </c:pt>
                <c:pt idx="29">
                  <c:v>530516476.97298449</c:v>
                </c:pt>
                <c:pt idx="30">
                  <c:v>397887357.72973835</c:v>
                </c:pt>
                <c:pt idx="31">
                  <c:v>318309886.18379068</c:v>
                </c:pt>
                <c:pt idx="32">
                  <c:v>265258238.48649225</c:v>
                </c:pt>
                <c:pt idx="33">
                  <c:v>227364204.41699338</c:v>
                </c:pt>
                <c:pt idx="34">
                  <c:v>198943678.86486918</c:v>
                </c:pt>
                <c:pt idx="35">
                  <c:v>176838825.65766147</c:v>
                </c:pt>
                <c:pt idx="36">
                  <c:v>159154943.09189534</c:v>
                </c:pt>
                <c:pt idx="37">
                  <c:v>79577471.545947671</c:v>
                </c:pt>
                <c:pt idx="38">
                  <c:v>53051647.697298445</c:v>
                </c:pt>
                <c:pt idx="39">
                  <c:v>39788735.772973835</c:v>
                </c:pt>
                <c:pt idx="40">
                  <c:v>31830988.618379071</c:v>
                </c:pt>
                <c:pt idx="41">
                  <c:v>26525823.848649222</c:v>
                </c:pt>
                <c:pt idx="42">
                  <c:v>22736420.441699333</c:v>
                </c:pt>
                <c:pt idx="43">
                  <c:v>19894367.886486918</c:v>
                </c:pt>
                <c:pt idx="44">
                  <c:v>17683882.565766148</c:v>
                </c:pt>
                <c:pt idx="45">
                  <c:v>15915494.309189536</c:v>
                </c:pt>
                <c:pt idx="46">
                  <c:v>7957747.1545947678</c:v>
                </c:pt>
                <c:pt idx="47">
                  <c:v>5305164.7697298443</c:v>
                </c:pt>
                <c:pt idx="48">
                  <c:v>3978873.5772973839</c:v>
                </c:pt>
                <c:pt idx="49">
                  <c:v>3183098.8618379068</c:v>
                </c:pt>
                <c:pt idx="50">
                  <c:v>2652582.3848649221</c:v>
                </c:pt>
                <c:pt idx="51">
                  <c:v>2273642.0441699335</c:v>
                </c:pt>
                <c:pt idx="52">
                  <c:v>1989436.788648692</c:v>
                </c:pt>
                <c:pt idx="53">
                  <c:v>1768388.2565766149</c:v>
                </c:pt>
                <c:pt idx="54">
                  <c:v>1591549.4309189534</c:v>
                </c:pt>
                <c:pt idx="55">
                  <c:v>795774.71545947669</c:v>
                </c:pt>
                <c:pt idx="56">
                  <c:v>530516.47697298438</c:v>
                </c:pt>
                <c:pt idx="57">
                  <c:v>397887.35772973835</c:v>
                </c:pt>
                <c:pt idx="58">
                  <c:v>318309.88618379069</c:v>
                </c:pt>
                <c:pt idx="59">
                  <c:v>265258.23848649219</c:v>
                </c:pt>
                <c:pt idx="60">
                  <c:v>227364.20441699334</c:v>
                </c:pt>
                <c:pt idx="61">
                  <c:v>198943.67886486917</c:v>
                </c:pt>
                <c:pt idx="62">
                  <c:v>176838.82565766151</c:v>
                </c:pt>
                <c:pt idx="63">
                  <c:v>159154.94309189534</c:v>
                </c:pt>
                <c:pt idx="64">
                  <c:v>79577.471545947672</c:v>
                </c:pt>
                <c:pt idx="65">
                  <c:v>53051.647697298446</c:v>
                </c:pt>
                <c:pt idx="66">
                  <c:v>39788.735772973836</c:v>
                </c:pt>
                <c:pt idx="67">
                  <c:v>31830.988618379073</c:v>
                </c:pt>
                <c:pt idx="68">
                  <c:v>26525.823848649223</c:v>
                </c:pt>
                <c:pt idx="69">
                  <c:v>22736.420441699331</c:v>
                </c:pt>
                <c:pt idx="70">
                  <c:v>19894.367886486918</c:v>
                </c:pt>
                <c:pt idx="71">
                  <c:v>17683.882565766147</c:v>
                </c:pt>
                <c:pt idx="72">
                  <c:v>15915.494309189537</c:v>
                </c:pt>
                <c:pt idx="73">
                  <c:v>7957.7471545947683</c:v>
                </c:pt>
                <c:pt idx="74">
                  <c:v>5305.1647697298449</c:v>
                </c:pt>
                <c:pt idx="75">
                  <c:v>3978.8735772973841</c:v>
                </c:pt>
                <c:pt idx="76">
                  <c:v>3183.098861837907</c:v>
                </c:pt>
                <c:pt idx="77">
                  <c:v>2652.5823848649225</c:v>
                </c:pt>
                <c:pt idx="78">
                  <c:v>2273.6420441699338</c:v>
                </c:pt>
                <c:pt idx="79">
                  <c:v>1989.4367886486921</c:v>
                </c:pt>
                <c:pt idx="80">
                  <c:v>1768.3882565766148</c:v>
                </c:pt>
                <c:pt idx="81">
                  <c:v>1591.5494309189535</c:v>
                </c:pt>
              </c:numCache>
            </c:numRef>
          </c:yVal>
          <c:smooth val="0"/>
          <c:extLst>
            <c:ext xmlns:c16="http://schemas.microsoft.com/office/drawing/2014/chart" uri="{C3380CC4-5D6E-409C-BE32-E72D297353CC}">
              <c16:uniqueId val="{00000017-209E-4F50-82BA-B53BEBD47505}"/>
            </c:ext>
          </c:extLst>
        </c:ser>
        <c:dLbls>
          <c:showLegendKey val="0"/>
          <c:showVal val="0"/>
          <c:showCatName val="0"/>
          <c:showSerName val="0"/>
          <c:showPercent val="0"/>
          <c:showBubbleSize val="0"/>
        </c:dLbls>
        <c:axId val="408105248"/>
        <c:axId val="408106688"/>
      </c:scatterChart>
      <c:valAx>
        <c:axId val="408105248"/>
        <c:scaling>
          <c:logBase val="10"/>
          <c:orientation val="minMax"/>
        </c:scaling>
        <c:delete val="0"/>
        <c:axPos val="b"/>
        <c:majorGridlines>
          <c:spPr>
            <a:ln w="1270" cap="flat" cmpd="sng" algn="ctr">
              <a:solidFill>
                <a:srgbClr val="000000"/>
              </a:solidFill>
              <a:prstDash val="solid"/>
              <a:round/>
            </a:ln>
            <a:effectLst/>
          </c:spPr>
        </c:majorGridlines>
        <c:minorGridlines>
          <c:spPr>
            <a:ln w="9525" cap="flat" cmpd="sng" algn="ctr">
              <a:solidFill>
                <a:schemeClr val="bg1">
                  <a:lumMod val="75000"/>
                </a:schemeClr>
              </a:solidFill>
              <a:round/>
            </a:ln>
            <a:effectLst/>
          </c:spPr>
        </c:minorGridlines>
        <c:title>
          <c:tx>
            <c:rich>
              <a:bodyPr rot="0" spcFirstLastPara="1" vertOverflow="ellipsis" vert="horz" wrap="square" anchor="ctr" anchorCtr="1"/>
              <a:lstStyle/>
              <a:p>
                <a:pPr>
                  <a:defRPr sz="1100" b="0" i="0" u="none" strike="noStrike" kern="1200" baseline="0">
                    <a:solidFill>
                      <a:srgbClr val="000000"/>
                    </a:solidFill>
                    <a:latin typeface="Arial"/>
                    <a:ea typeface="Arial"/>
                    <a:cs typeface="Arial"/>
                  </a:defRPr>
                </a:pPr>
                <a:r>
                  <a:rPr lang="en-US" sz="1100" b="0"/>
                  <a:t>Frequency (Hz)</a:t>
                </a:r>
              </a:p>
            </c:rich>
          </c:tx>
          <c:overlay val="0"/>
          <c:spPr>
            <a:noFill/>
            <a:ln>
              <a:noFill/>
            </a:ln>
            <a:effectLst/>
          </c:spPr>
          <c:txPr>
            <a:bodyPr rot="0" spcFirstLastPara="1" vertOverflow="ellipsis" vert="horz" wrap="square" anchor="ctr" anchorCtr="1"/>
            <a:lstStyle/>
            <a:p>
              <a:pPr>
                <a:defRPr sz="1100" b="0" i="0" u="none" strike="noStrike" kern="1200" baseline="0">
                  <a:solidFill>
                    <a:srgbClr val="000000"/>
                  </a:solidFill>
                  <a:latin typeface="Arial"/>
                  <a:ea typeface="Arial"/>
                  <a:cs typeface="Arial"/>
                </a:defRPr>
              </a:pPr>
              <a:endParaRPr lang="en-US"/>
            </a:p>
          </c:txPr>
        </c:title>
        <c:numFmt formatCode="[&gt;999999]0,,&quot;M&quot;;[&gt;999]#,##0,&quot;K&quot;;General" sourceLinked="0"/>
        <c:majorTickMark val="in"/>
        <c:minorTickMark val="none"/>
        <c:tickLblPos val="nextTo"/>
        <c:spPr>
          <a:noFill/>
          <a:ln w="1270" cap="flat" cmpd="sng" algn="ctr">
            <a:solidFill>
              <a:srgbClr val="000000"/>
            </a:solidFill>
            <a:prstDash val="solid"/>
            <a:round/>
          </a:ln>
          <a:effectLst/>
        </c:spPr>
        <c:txPr>
          <a:bodyPr rot="-60000000" spcFirstLastPara="1" vertOverflow="ellipsis" vert="horz" wrap="square" anchor="ctr" anchorCtr="1"/>
          <a:lstStyle/>
          <a:p>
            <a:pPr>
              <a:defRPr sz="800" b="0" i="0" u="none" strike="noStrike" kern="1200" baseline="0">
                <a:solidFill>
                  <a:srgbClr val="000000"/>
                </a:solidFill>
                <a:latin typeface="Arial"/>
                <a:ea typeface="Arial"/>
                <a:cs typeface="Arial"/>
              </a:defRPr>
            </a:pPr>
            <a:endParaRPr lang="en-US"/>
          </a:p>
        </c:txPr>
        <c:crossAx val="408106688"/>
        <c:crossesAt val="1.0000000000000004E-6"/>
        <c:crossBetween val="midCat"/>
      </c:valAx>
      <c:valAx>
        <c:axId val="408106688"/>
        <c:scaling>
          <c:logBase val="10"/>
          <c:orientation val="minMax"/>
          <c:max val="100000"/>
          <c:min val="1.0000000000000002E-3"/>
        </c:scaling>
        <c:delete val="0"/>
        <c:axPos val="l"/>
        <c:majorGridlines>
          <c:spPr>
            <a:ln w="1270" cap="flat" cmpd="sng" algn="ctr">
              <a:solidFill>
                <a:srgbClr val="000000"/>
              </a:solidFill>
              <a:prstDash val="solid"/>
              <a:round/>
            </a:ln>
            <a:effectLst/>
          </c:spPr>
        </c:majorGridlines>
        <c:minorGridlines>
          <c:spPr>
            <a:ln w="9525" cap="flat" cmpd="sng" algn="ctr">
              <a:solidFill>
                <a:schemeClr val="bg1">
                  <a:lumMod val="75000"/>
                </a:schemeClr>
              </a:solidFill>
              <a:round/>
            </a:ln>
            <a:effectLst/>
          </c:spPr>
        </c:minorGridlines>
        <c:title>
          <c:tx>
            <c:rich>
              <a:bodyPr rot="-5400000" spcFirstLastPara="1" vertOverflow="ellipsis" vert="horz" wrap="square" anchor="ctr" anchorCtr="1"/>
              <a:lstStyle/>
              <a:p>
                <a:pPr>
                  <a:defRPr sz="1100" b="0" i="0" u="none" strike="noStrike" kern="1200" baseline="0">
                    <a:solidFill>
                      <a:srgbClr val="000000"/>
                    </a:solidFill>
                    <a:latin typeface="Arial"/>
                    <a:ea typeface="Arial"/>
                    <a:cs typeface="Arial"/>
                  </a:defRPr>
                </a:pPr>
                <a:r>
                  <a:rPr lang="en-US" sz="1100" b="0"/>
                  <a:t>Impedance (m</a:t>
                </a:r>
                <a:r>
                  <a:rPr lang="el-GR" sz="1100" b="0"/>
                  <a:t>Ω)</a:t>
                </a:r>
              </a:p>
            </c:rich>
          </c:tx>
          <c:overlay val="0"/>
          <c:spPr>
            <a:noFill/>
            <a:ln>
              <a:noFill/>
            </a:ln>
            <a:effectLst/>
          </c:spPr>
          <c:txPr>
            <a:bodyPr rot="-5400000" spcFirstLastPara="1" vertOverflow="ellipsis" vert="horz" wrap="square" anchor="ctr" anchorCtr="1"/>
            <a:lstStyle/>
            <a:p>
              <a:pPr>
                <a:defRPr sz="1100" b="0" i="0" u="none" strike="noStrike" kern="1200" baseline="0">
                  <a:solidFill>
                    <a:srgbClr val="000000"/>
                  </a:solidFill>
                  <a:latin typeface="Arial"/>
                  <a:ea typeface="Arial"/>
                  <a:cs typeface="Arial"/>
                </a:defRPr>
              </a:pPr>
              <a:endParaRPr lang="en-US"/>
            </a:p>
          </c:txPr>
        </c:title>
        <c:numFmt formatCode="[&lt;1]0.###;[&gt;0.1]###,###;" sourceLinked="0"/>
        <c:majorTickMark val="in"/>
        <c:minorTickMark val="none"/>
        <c:tickLblPos val="nextTo"/>
        <c:spPr>
          <a:noFill/>
          <a:ln w="1270" cap="flat" cmpd="sng" algn="ctr">
            <a:solidFill>
              <a:srgbClr val="000000"/>
            </a:solidFill>
            <a:prstDash val="solid"/>
            <a:round/>
          </a:ln>
          <a:effectLst/>
        </c:spPr>
        <c:txPr>
          <a:bodyPr rot="-60000000" spcFirstLastPara="1" vertOverflow="ellipsis" vert="horz" wrap="square" anchor="ctr" anchorCtr="1"/>
          <a:lstStyle/>
          <a:p>
            <a:pPr>
              <a:defRPr sz="900" b="0" i="0" u="none" strike="noStrike" kern="1200" baseline="0">
                <a:solidFill>
                  <a:srgbClr val="000000"/>
                </a:solidFill>
                <a:latin typeface="Arial"/>
                <a:ea typeface="Arial"/>
                <a:cs typeface="Arial"/>
              </a:defRPr>
            </a:pPr>
            <a:endParaRPr lang="en-US"/>
          </a:p>
        </c:txPr>
        <c:crossAx val="408105248"/>
        <c:crosses val="autoZero"/>
        <c:crossBetween val="midCat"/>
      </c:valAx>
      <c:spPr>
        <a:solidFill>
          <a:srgbClr val="FFFFFF"/>
        </a:solidFill>
        <a:ln w="1270">
          <a:solidFill>
            <a:srgbClr val="000000"/>
          </a:solidFill>
          <a:prstDash val="solid"/>
        </a:ln>
        <a:effectLst/>
      </c:spPr>
    </c:plotArea>
    <c:legend>
      <c:legendPos val="l"/>
      <c:layout>
        <c:manualLayout>
          <c:xMode val="edge"/>
          <c:yMode val="edge"/>
          <c:x val="0.13661202185792351"/>
          <c:y val="0.56096725418088522"/>
          <c:w val="0.1213761360431039"/>
          <c:h val="0.30364403301270371"/>
        </c:manualLayout>
      </c:layout>
      <c:overlay val="1"/>
      <c:spPr>
        <a:solidFill>
          <a:srgbClr val="FFFFFF"/>
        </a:solidFill>
        <a:ln w="3175">
          <a:solidFill>
            <a:srgbClr val="000000"/>
          </a:solidFill>
          <a:prstDash val="solid"/>
        </a:ln>
        <a:effectLst/>
      </c:spPr>
      <c:txPr>
        <a:bodyPr rot="0" spcFirstLastPara="1" vertOverflow="ellipsis" vert="horz" wrap="square" anchor="ctr" anchorCtr="1"/>
        <a:lstStyle/>
        <a:p>
          <a:pPr>
            <a:defRPr lang="en-US" sz="800" b="0" i="0" u="none" strike="noStrike" kern="1200" baseline="0">
              <a:solidFill>
                <a:srgbClr val="000000"/>
              </a:solidFill>
              <a:latin typeface="Arial"/>
              <a:ea typeface="Arial"/>
              <a:cs typeface="Arial"/>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3175" cap="flat" cmpd="sng" algn="ctr">
      <a:solidFill>
        <a:srgbClr val="000000"/>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rgbClr val="000000"/>
                </a:solidFill>
                <a:latin typeface="Arial"/>
                <a:ea typeface="Arial"/>
                <a:cs typeface="Arial"/>
              </a:defRPr>
            </a:pPr>
            <a:r>
              <a:rPr lang="en-US" sz="1100" b="1"/>
              <a:t>Impedance vs Frequency</a:t>
            </a:r>
          </a:p>
        </c:rich>
      </c:tx>
      <c:overlay val="0"/>
      <c:spPr>
        <a:noFill/>
        <a:ln>
          <a:noFill/>
        </a:ln>
        <a:effectLst/>
      </c:spPr>
      <c:txPr>
        <a:bodyPr rot="0" spcFirstLastPara="1" vertOverflow="ellipsis" vert="horz" wrap="square" anchor="ctr" anchorCtr="1"/>
        <a:lstStyle/>
        <a:p>
          <a:pPr>
            <a:defRPr sz="1100" b="1" i="0" u="none" strike="noStrike" kern="1200" spc="0" baseline="0">
              <a:solidFill>
                <a:srgbClr val="000000"/>
              </a:solidFill>
              <a:latin typeface="Arial"/>
              <a:ea typeface="Arial"/>
              <a:cs typeface="Arial"/>
            </a:defRPr>
          </a:pPr>
          <a:endParaRPr lang="en-US"/>
        </a:p>
      </c:txPr>
    </c:title>
    <c:autoTitleDeleted val="0"/>
    <c:plotArea>
      <c:layout/>
      <c:scatterChart>
        <c:scatterStyle val="lineMarker"/>
        <c:varyColors val="0"/>
        <c:ser>
          <c:idx val="0"/>
          <c:order val="0"/>
          <c:tx>
            <c:strRef>
              <c:f>'Capacitor Impedance'!$S$3</c:f>
              <c:strCache>
                <c:ptCount val="1"/>
                <c:pt idx="0">
                  <c:v>Tantalum, 5nH</c:v>
                </c:pt>
              </c:strCache>
            </c:strRef>
          </c:tx>
          <c:spPr>
            <a:ln w="25400" cap="rnd">
              <a:solidFill>
                <a:schemeClr val="accent1"/>
              </a:solidFill>
              <a:round/>
            </a:ln>
            <a:effectLst/>
          </c:spPr>
          <c:marker>
            <c:symbol val="none"/>
          </c:marker>
          <c:xVal>
            <c:numRef>
              <c:f>'Capacitor Impedance'!$Q$6:$Q$87</c:f>
              <c:numCache>
                <c:formatCode>#,##0</c:formatCode>
                <c:ptCount val="82"/>
                <c:pt idx="0">
                  <c:v>1</c:v>
                </c:pt>
                <c:pt idx="1">
                  <c:v>2</c:v>
                </c:pt>
                <c:pt idx="2">
                  <c:v>3</c:v>
                </c:pt>
                <c:pt idx="3">
                  <c:v>4</c:v>
                </c:pt>
                <c:pt idx="4">
                  <c:v>5</c:v>
                </c:pt>
                <c:pt idx="5">
                  <c:v>6</c:v>
                </c:pt>
                <c:pt idx="6">
                  <c:v>7</c:v>
                </c:pt>
                <c:pt idx="7">
                  <c:v>8</c:v>
                </c:pt>
                <c:pt idx="8">
                  <c:v>9</c:v>
                </c:pt>
                <c:pt idx="9">
                  <c:v>10</c:v>
                </c:pt>
                <c:pt idx="10">
                  <c:v>20</c:v>
                </c:pt>
                <c:pt idx="11">
                  <c:v>30</c:v>
                </c:pt>
                <c:pt idx="12">
                  <c:v>40</c:v>
                </c:pt>
                <c:pt idx="13">
                  <c:v>50</c:v>
                </c:pt>
                <c:pt idx="14">
                  <c:v>60</c:v>
                </c:pt>
                <c:pt idx="15">
                  <c:v>70</c:v>
                </c:pt>
                <c:pt idx="16">
                  <c:v>80</c:v>
                </c:pt>
                <c:pt idx="17">
                  <c:v>90</c:v>
                </c:pt>
                <c:pt idx="18">
                  <c:v>100</c:v>
                </c:pt>
                <c:pt idx="19">
                  <c:v>200</c:v>
                </c:pt>
                <c:pt idx="20">
                  <c:v>300</c:v>
                </c:pt>
                <c:pt idx="21">
                  <c:v>400</c:v>
                </c:pt>
                <c:pt idx="22">
                  <c:v>500</c:v>
                </c:pt>
                <c:pt idx="23">
                  <c:v>600</c:v>
                </c:pt>
                <c:pt idx="24">
                  <c:v>700</c:v>
                </c:pt>
                <c:pt idx="25">
                  <c:v>800</c:v>
                </c:pt>
                <c:pt idx="26">
                  <c:v>900</c:v>
                </c:pt>
                <c:pt idx="27">
                  <c:v>1000</c:v>
                </c:pt>
                <c:pt idx="28">
                  <c:v>2000</c:v>
                </c:pt>
                <c:pt idx="29">
                  <c:v>3000</c:v>
                </c:pt>
                <c:pt idx="30">
                  <c:v>4000</c:v>
                </c:pt>
                <c:pt idx="31">
                  <c:v>5000</c:v>
                </c:pt>
                <c:pt idx="32">
                  <c:v>6000</c:v>
                </c:pt>
                <c:pt idx="33">
                  <c:v>7000</c:v>
                </c:pt>
                <c:pt idx="34">
                  <c:v>8000</c:v>
                </c:pt>
                <c:pt idx="35">
                  <c:v>9000</c:v>
                </c:pt>
                <c:pt idx="36">
                  <c:v>10000</c:v>
                </c:pt>
                <c:pt idx="37">
                  <c:v>20000</c:v>
                </c:pt>
                <c:pt idx="38">
                  <c:v>30000</c:v>
                </c:pt>
                <c:pt idx="39">
                  <c:v>40000</c:v>
                </c:pt>
                <c:pt idx="40">
                  <c:v>50000</c:v>
                </c:pt>
                <c:pt idx="41">
                  <c:v>60000</c:v>
                </c:pt>
                <c:pt idx="42">
                  <c:v>70000</c:v>
                </c:pt>
                <c:pt idx="43">
                  <c:v>80000</c:v>
                </c:pt>
                <c:pt idx="44">
                  <c:v>90000</c:v>
                </c:pt>
                <c:pt idx="45">
                  <c:v>100000</c:v>
                </c:pt>
                <c:pt idx="46">
                  <c:v>200000</c:v>
                </c:pt>
                <c:pt idx="47">
                  <c:v>300000</c:v>
                </c:pt>
                <c:pt idx="48">
                  <c:v>400000</c:v>
                </c:pt>
                <c:pt idx="49">
                  <c:v>500000</c:v>
                </c:pt>
                <c:pt idx="50">
                  <c:v>600000</c:v>
                </c:pt>
                <c:pt idx="51">
                  <c:v>700000</c:v>
                </c:pt>
                <c:pt idx="52">
                  <c:v>800000</c:v>
                </c:pt>
                <c:pt idx="53">
                  <c:v>900000</c:v>
                </c:pt>
                <c:pt idx="54">
                  <c:v>1000000</c:v>
                </c:pt>
                <c:pt idx="55">
                  <c:v>2000000</c:v>
                </c:pt>
                <c:pt idx="56">
                  <c:v>3000000</c:v>
                </c:pt>
                <c:pt idx="57">
                  <c:v>4000000</c:v>
                </c:pt>
                <c:pt idx="58">
                  <c:v>5000000</c:v>
                </c:pt>
                <c:pt idx="59">
                  <c:v>6000000</c:v>
                </c:pt>
                <c:pt idx="60">
                  <c:v>7000000</c:v>
                </c:pt>
                <c:pt idx="61">
                  <c:v>8000000</c:v>
                </c:pt>
                <c:pt idx="62">
                  <c:v>9000000</c:v>
                </c:pt>
                <c:pt idx="63">
                  <c:v>10000000</c:v>
                </c:pt>
                <c:pt idx="64">
                  <c:v>20000000</c:v>
                </c:pt>
                <c:pt idx="65">
                  <c:v>30000000</c:v>
                </c:pt>
                <c:pt idx="66">
                  <c:v>40000000</c:v>
                </c:pt>
                <c:pt idx="67">
                  <c:v>50000000</c:v>
                </c:pt>
                <c:pt idx="68">
                  <c:v>60000000</c:v>
                </c:pt>
                <c:pt idx="69">
                  <c:v>70000000</c:v>
                </c:pt>
                <c:pt idx="70">
                  <c:v>80000000</c:v>
                </c:pt>
                <c:pt idx="71">
                  <c:v>90000000</c:v>
                </c:pt>
                <c:pt idx="72">
                  <c:v>100000000</c:v>
                </c:pt>
                <c:pt idx="73">
                  <c:v>200000000</c:v>
                </c:pt>
                <c:pt idx="74">
                  <c:v>300000000</c:v>
                </c:pt>
                <c:pt idx="75">
                  <c:v>400000000</c:v>
                </c:pt>
                <c:pt idx="76">
                  <c:v>500000000</c:v>
                </c:pt>
                <c:pt idx="77">
                  <c:v>600000000</c:v>
                </c:pt>
                <c:pt idx="78">
                  <c:v>700000000</c:v>
                </c:pt>
                <c:pt idx="79">
                  <c:v>800000000</c:v>
                </c:pt>
                <c:pt idx="80">
                  <c:v>900000000</c:v>
                </c:pt>
                <c:pt idx="81">
                  <c:v>1000000000</c:v>
                </c:pt>
              </c:numCache>
            </c:numRef>
          </c:xVal>
          <c:yVal>
            <c:numRef>
              <c:f>'Capacitor Impedance'!$S$6:$S$87</c:f>
              <c:numCache>
                <c:formatCode>0.0000000000</c:formatCode>
                <c:ptCount val="82"/>
                <c:pt idx="0">
                  <c:v>3.1415926535897928E-5</c:v>
                </c:pt>
                <c:pt idx="1">
                  <c:v>6.2831853071795856E-5</c:v>
                </c:pt>
                <c:pt idx="2">
                  <c:v>9.4247779607693798E-5</c:v>
                </c:pt>
                <c:pt idx="3">
                  <c:v>1.2566370614359171E-4</c:v>
                </c:pt>
                <c:pt idx="4">
                  <c:v>1.5707963267948965E-4</c:v>
                </c:pt>
                <c:pt idx="5">
                  <c:v>1.884955592153876E-4</c:v>
                </c:pt>
                <c:pt idx="6">
                  <c:v>2.1991148575128551E-4</c:v>
                </c:pt>
                <c:pt idx="7">
                  <c:v>2.5132741228718343E-4</c:v>
                </c:pt>
                <c:pt idx="8">
                  <c:v>2.8274333882308137E-4</c:v>
                </c:pt>
                <c:pt idx="9">
                  <c:v>3.1415926535897931E-4</c:v>
                </c:pt>
                <c:pt idx="10">
                  <c:v>6.2831853071795862E-4</c:v>
                </c:pt>
                <c:pt idx="11">
                  <c:v>9.4247779607693793E-4</c:v>
                </c:pt>
                <c:pt idx="12">
                  <c:v>1.2566370614359172E-3</c:v>
                </c:pt>
                <c:pt idx="13">
                  <c:v>1.5707963267948967E-3</c:v>
                </c:pt>
                <c:pt idx="14">
                  <c:v>1.8849555921538759E-3</c:v>
                </c:pt>
                <c:pt idx="15">
                  <c:v>2.1991148575128548E-3</c:v>
                </c:pt>
                <c:pt idx="16">
                  <c:v>2.5132741228718345E-3</c:v>
                </c:pt>
                <c:pt idx="17">
                  <c:v>2.8274333882308137E-3</c:v>
                </c:pt>
                <c:pt idx="18">
                  <c:v>3.1415926535897933E-3</c:v>
                </c:pt>
                <c:pt idx="19">
                  <c:v>6.2831853071795866E-3</c:v>
                </c:pt>
                <c:pt idx="20">
                  <c:v>9.4247779607693795E-3</c:v>
                </c:pt>
                <c:pt idx="21">
                  <c:v>1.2566370614359173E-2</c:v>
                </c:pt>
                <c:pt idx="22">
                  <c:v>1.5707963267948963E-2</c:v>
                </c:pt>
                <c:pt idx="23">
                  <c:v>1.8849555921538759E-2</c:v>
                </c:pt>
                <c:pt idx="24">
                  <c:v>2.1991148575128548E-2</c:v>
                </c:pt>
                <c:pt idx="25">
                  <c:v>2.5132741228718346E-2</c:v>
                </c:pt>
                <c:pt idx="26">
                  <c:v>2.8274333882308138E-2</c:v>
                </c:pt>
                <c:pt idx="27">
                  <c:v>3.1415926535897927E-2</c:v>
                </c:pt>
                <c:pt idx="28">
                  <c:v>6.2831853071795854E-2</c:v>
                </c:pt>
                <c:pt idx="29">
                  <c:v>9.4247779607693802E-2</c:v>
                </c:pt>
                <c:pt idx="30">
                  <c:v>0.12566370614359171</c:v>
                </c:pt>
                <c:pt idx="31">
                  <c:v>0.15707963267948966</c:v>
                </c:pt>
                <c:pt idx="32">
                  <c:v>0.1884955592153876</c:v>
                </c:pt>
                <c:pt idx="33">
                  <c:v>0.21991148575128552</c:v>
                </c:pt>
                <c:pt idx="34">
                  <c:v>0.25132741228718342</c:v>
                </c:pt>
                <c:pt idx="35">
                  <c:v>0.28274333882308145</c:v>
                </c:pt>
                <c:pt idx="36">
                  <c:v>0.31415926535897931</c:v>
                </c:pt>
                <c:pt idx="37">
                  <c:v>0.62831853071795862</c:v>
                </c:pt>
                <c:pt idx="38">
                  <c:v>0.94247779607693793</c:v>
                </c:pt>
                <c:pt idx="39">
                  <c:v>1.2566370614359172</c:v>
                </c:pt>
                <c:pt idx="40">
                  <c:v>1.5707963267948963</c:v>
                </c:pt>
                <c:pt idx="41">
                  <c:v>1.8849555921538759</c:v>
                </c:pt>
                <c:pt idx="42">
                  <c:v>2.1991148575128552</c:v>
                </c:pt>
                <c:pt idx="43">
                  <c:v>2.5132741228718345</c:v>
                </c:pt>
                <c:pt idx="44">
                  <c:v>2.8274333882308142</c:v>
                </c:pt>
                <c:pt idx="45">
                  <c:v>3.1415926535897927</c:v>
                </c:pt>
                <c:pt idx="46">
                  <c:v>6.2831853071795853</c:v>
                </c:pt>
                <c:pt idx="47">
                  <c:v>9.4247779607693793</c:v>
                </c:pt>
                <c:pt idx="48">
                  <c:v>12.566370614359171</c:v>
                </c:pt>
                <c:pt idx="49">
                  <c:v>15.707963267948967</c:v>
                </c:pt>
                <c:pt idx="50">
                  <c:v>18.849555921538759</c:v>
                </c:pt>
                <c:pt idx="51">
                  <c:v>21.991148575128552</c:v>
                </c:pt>
                <c:pt idx="52">
                  <c:v>25.132741228718341</c:v>
                </c:pt>
                <c:pt idx="53">
                  <c:v>28.274333882308138</c:v>
                </c:pt>
                <c:pt idx="54">
                  <c:v>31.415926535897935</c:v>
                </c:pt>
                <c:pt idx="55">
                  <c:v>62.831853071795869</c:v>
                </c:pt>
                <c:pt idx="56">
                  <c:v>94.247779607693801</c:v>
                </c:pt>
                <c:pt idx="57">
                  <c:v>125.66370614359174</c:v>
                </c:pt>
                <c:pt idx="58">
                  <c:v>157.07963267948966</c:v>
                </c:pt>
                <c:pt idx="59">
                  <c:v>188.4955592153876</c:v>
                </c:pt>
                <c:pt idx="60">
                  <c:v>219.91148575128551</c:v>
                </c:pt>
                <c:pt idx="61">
                  <c:v>251.32741228718348</c:v>
                </c:pt>
                <c:pt idx="62">
                  <c:v>282.74333882308139</c:v>
                </c:pt>
                <c:pt idx="63">
                  <c:v>314.15926535897933</c:v>
                </c:pt>
                <c:pt idx="64">
                  <c:v>628.31853071795865</c:v>
                </c:pt>
                <c:pt idx="65">
                  <c:v>942.47779607693792</c:v>
                </c:pt>
                <c:pt idx="66">
                  <c:v>1256.6370614359173</c:v>
                </c:pt>
                <c:pt idx="67">
                  <c:v>1570.7963267948965</c:v>
                </c:pt>
                <c:pt idx="68">
                  <c:v>1884.9555921538758</c:v>
                </c:pt>
                <c:pt idx="69">
                  <c:v>2199.114857512855</c:v>
                </c:pt>
                <c:pt idx="70">
                  <c:v>2513.2741228718346</c:v>
                </c:pt>
                <c:pt idx="71">
                  <c:v>2827.4333882308138</c:v>
                </c:pt>
                <c:pt idx="72">
                  <c:v>3141.5926535897929</c:v>
                </c:pt>
                <c:pt idx="73">
                  <c:v>6283.1853071795858</c:v>
                </c:pt>
                <c:pt idx="74">
                  <c:v>9424.7779607693792</c:v>
                </c:pt>
                <c:pt idx="75">
                  <c:v>12566.370614359172</c:v>
                </c:pt>
                <c:pt idx="76">
                  <c:v>15707.963267948966</c:v>
                </c:pt>
                <c:pt idx="77">
                  <c:v>18849.555921538758</c:v>
                </c:pt>
                <c:pt idx="78">
                  <c:v>21991.148575128551</c:v>
                </c:pt>
                <c:pt idx="79">
                  <c:v>25132.741228718343</c:v>
                </c:pt>
                <c:pt idx="80">
                  <c:v>28274.333882308143</c:v>
                </c:pt>
                <c:pt idx="81">
                  <c:v>31415.926535897932</c:v>
                </c:pt>
              </c:numCache>
            </c:numRef>
          </c:yVal>
          <c:smooth val="0"/>
          <c:extLst>
            <c:ext xmlns:c16="http://schemas.microsoft.com/office/drawing/2014/chart" uri="{C3380CC4-5D6E-409C-BE32-E72D297353CC}">
              <c16:uniqueId val="{00000000-E48C-4E66-996F-5C67296C9330}"/>
            </c:ext>
          </c:extLst>
        </c:ser>
        <c:ser>
          <c:idx val="1"/>
          <c:order val="1"/>
          <c:tx>
            <c:strRef>
              <c:f>'Capacitor Impedance'!$X$3</c:f>
              <c:strCache>
                <c:ptCount val="1"/>
                <c:pt idx="0">
                  <c:v>1206, 1.3nH</c:v>
                </c:pt>
              </c:strCache>
            </c:strRef>
          </c:tx>
          <c:spPr>
            <a:ln w="25400" cap="rnd">
              <a:solidFill>
                <a:schemeClr val="accent2"/>
              </a:solidFill>
              <a:round/>
            </a:ln>
            <a:effectLst/>
          </c:spPr>
          <c:marker>
            <c:symbol val="none"/>
          </c:marker>
          <c:xVal>
            <c:numRef>
              <c:f>'Capacitor Impedance'!$Q$6:$Q$87</c:f>
              <c:numCache>
                <c:formatCode>#,##0</c:formatCode>
                <c:ptCount val="82"/>
                <c:pt idx="0">
                  <c:v>1</c:v>
                </c:pt>
                <c:pt idx="1">
                  <c:v>2</c:v>
                </c:pt>
                <c:pt idx="2">
                  <c:v>3</c:v>
                </c:pt>
                <c:pt idx="3">
                  <c:v>4</c:v>
                </c:pt>
                <c:pt idx="4">
                  <c:v>5</c:v>
                </c:pt>
                <c:pt idx="5">
                  <c:v>6</c:v>
                </c:pt>
                <c:pt idx="6">
                  <c:v>7</c:v>
                </c:pt>
                <c:pt idx="7">
                  <c:v>8</c:v>
                </c:pt>
                <c:pt idx="8">
                  <c:v>9</c:v>
                </c:pt>
                <c:pt idx="9">
                  <c:v>10</c:v>
                </c:pt>
                <c:pt idx="10">
                  <c:v>20</c:v>
                </c:pt>
                <c:pt idx="11">
                  <c:v>30</c:v>
                </c:pt>
                <c:pt idx="12">
                  <c:v>40</c:v>
                </c:pt>
                <c:pt idx="13">
                  <c:v>50</c:v>
                </c:pt>
                <c:pt idx="14">
                  <c:v>60</c:v>
                </c:pt>
                <c:pt idx="15">
                  <c:v>70</c:v>
                </c:pt>
                <c:pt idx="16">
                  <c:v>80</c:v>
                </c:pt>
                <c:pt idx="17">
                  <c:v>90</c:v>
                </c:pt>
                <c:pt idx="18">
                  <c:v>100</c:v>
                </c:pt>
                <c:pt idx="19">
                  <c:v>200</c:v>
                </c:pt>
                <c:pt idx="20">
                  <c:v>300</c:v>
                </c:pt>
                <c:pt idx="21">
                  <c:v>400</c:v>
                </c:pt>
                <c:pt idx="22">
                  <c:v>500</c:v>
                </c:pt>
                <c:pt idx="23">
                  <c:v>600</c:v>
                </c:pt>
                <c:pt idx="24">
                  <c:v>700</c:v>
                </c:pt>
                <c:pt idx="25">
                  <c:v>800</c:v>
                </c:pt>
                <c:pt idx="26">
                  <c:v>900</c:v>
                </c:pt>
                <c:pt idx="27">
                  <c:v>1000</c:v>
                </c:pt>
                <c:pt idx="28">
                  <c:v>2000</c:v>
                </c:pt>
                <c:pt idx="29">
                  <c:v>3000</c:v>
                </c:pt>
                <c:pt idx="30">
                  <c:v>4000</c:v>
                </c:pt>
                <c:pt idx="31">
                  <c:v>5000</c:v>
                </c:pt>
                <c:pt idx="32">
                  <c:v>6000</c:v>
                </c:pt>
                <c:pt idx="33">
                  <c:v>7000</c:v>
                </c:pt>
                <c:pt idx="34">
                  <c:v>8000</c:v>
                </c:pt>
                <c:pt idx="35">
                  <c:v>9000</c:v>
                </c:pt>
                <c:pt idx="36">
                  <c:v>10000</c:v>
                </c:pt>
                <c:pt idx="37">
                  <c:v>20000</c:v>
                </c:pt>
                <c:pt idx="38">
                  <c:v>30000</c:v>
                </c:pt>
                <c:pt idx="39">
                  <c:v>40000</c:v>
                </c:pt>
                <c:pt idx="40">
                  <c:v>50000</c:v>
                </c:pt>
                <c:pt idx="41">
                  <c:v>60000</c:v>
                </c:pt>
                <c:pt idx="42">
                  <c:v>70000</c:v>
                </c:pt>
                <c:pt idx="43">
                  <c:v>80000</c:v>
                </c:pt>
                <c:pt idx="44">
                  <c:v>90000</c:v>
                </c:pt>
                <c:pt idx="45">
                  <c:v>100000</c:v>
                </c:pt>
                <c:pt idx="46">
                  <c:v>200000</c:v>
                </c:pt>
                <c:pt idx="47">
                  <c:v>300000</c:v>
                </c:pt>
                <c:pt idx="48">
                  <c:v>400000</c:v>
                </c:pt>
                <c:pt idx="49">
                  <c:v>500000</c:v>
                </c:pt>
                <c:pt idx="50">
                  <c:v>600000</c:v>
                </c:pt>
                <c:pt idx="51">
                  <c:v>700000</c:v>
                </c:pt>
                <c:pt idx="52">
                  <c:v>800000</c:v>
                </c:pt>
                <c:pt idx="53">
                  <c:v>900000</c:v>
                </c:pt>
                <c:pt idx="54">
                  <c:v>1000000</c:v>
                </c:pt>
                <c:pt idx="55">
                  <c:v>2000000</c:v>
                </c:pt>
                <c:pt idx="56">
                  <c:v>3000000</c:v>
                </c:pt>
                <c:pt idx="57">
                  <c:v>4000000</c:v>
                </c:pt>
                <c:pt idx="58">
                  <c:v>5000000</c:v>
                </c:pt>
                <c:pt idx="59">
                  <c:v>6000000</c:v>
                </c:pt>
                <c:pt idx="60">
                  <c:v>7000000</c:v>
                </c:pt>
                <c:pt idx="61">
                  <c:v>8000000</c:v>
                </c:pt>
                <c:pt idx="62">
                  <c:v>9000000</c:v>
                </c:pt>
                <c:pt idx="63">
                  <c:v>10000000</c:v>
                </c:pt>
                <c:pt idx="64">
                  <c:v>20000000</c:v>
                </c:pt>
                <c:pt idx="65">
                  <c:v>30000000</c:v>
                </c:pt>
                <c:pt idx="66">
                  <c:v>40000000</c:v>
                </c:pt>
                <c:pt idx="67">
                  <c:v>50000000</c:v>
                </c:pt>
                <c:pt idx="68">
                  <c:v>60000000</c:v>
                </c:pt>
                <c:pt idx="69">
                  <c:v>70000000</c:v>
                </c:pt>
                <c:pt idx="70">
                  <c:v>80000000</c:v>
                </c:pt>
                <c:pt idx="71">
                  <c:v>90000000</c:v>
                </c:pt>
                <c:pt idx="72">
                  <c:v>100000000</c:v>
                </c:pt>
                <c:pt idx="73">
                  <c:v>200000000</c:v>
                </c:pt>
                <c:pt idx="74">
                  <c:v>300000000</c:v>
                </c:pt>
                <c:pt idx="75">
                  <c:v>400000000</c:v>
                </c:pt>
                <c:pt idx="76">
                  <c:v>500000000</c:v>
                </c:pt>
                <c:pt idx="77">
                  <c:v>600000000</c:v>
                </c:pt>
                <c:pt idx="78">
                  <c:v>700000000</c:v>
                </c:pt>
                <c:pt idx="79">
                  <c:v>800000000</c:v>
                </c:pt>
                <c:pt idx="80">
                  <c:v>900000000</c:v>
                </c:pt>
                <c:pt idx="81">
                  <c:v>1000000000</c:v>
                </c:pt>
              </c:numCache>
            </c:numRef>
          </c:xVal>
          <c:yVal>
            <c:numRef>
              <c:f>'Capacitor Impedance'!$X$6:$X$87</c:f>
              <c:numCache>
                <c:formatCode>0.0000000000</c:formatCode>
                <c:ptCount val="82"/>
                <c:pt idx="0">
                  <c:v>8.1681408993334625E-6</c:v>
                </c:pt>
                <c:pt idx="1">
                  <c:v>1.6336281798666925E-5</c:v>
                </c:pt>
                <c:pt idx="2">
                  <c:v>2.4504422698000386E-5</c:v>
                </c:pt>
                <c:pt idx="3">
                  <c:v>3.267256359733385E-5</c:v>
                </c:pt>
                <c:pt idx="4">
                  <c:v>4.0840704496667311E-5</c:v>
                </c:pt>
                <c:pt idx="5">
                  <c:v>4.9008845396000771E-5</c:v>
                </c:pt>
                <c:pt idx="6">
                  <c:v>5.7176986295334232E-5</c:v>
                </c:pt>
                <c:pt idx="7">
                  <c:v>6.53451271946677E-5</c:v>
                </c:pt>
                <c:pt idx="8">
                  <c:v>7.3513268094001154E-5</c:v>
                </c:pt>
                <c:pt idx="9">
                  <c:v>8.1681408993334621E-5</c:v>
                </c:pt>
                <c:pt idx="10">
                  <c:v>1.6336281798666924E-4</c:v>
                </c:pt>
                <c:pt idx="11">
                  <c:v>2.4504422698000384E-4</c:v>
                </c:pt>
                <c:pt idx="12">
                  <c:v>3.2672563597333849E-4</c:v>
                </c:pt>
                <c:pt idx="13">
                  <c:v>4.0840704496667313E-4</c:v>
                </c:pt>
                <c:pt idx="14">
                  <c:v>4.9008845396000767E-4</c:v>
                </c:pt>
                <c:pt idx="15">
                  <c:v>5.7176986295334243E-4</c:v>
                </c:pt>
                <c:pt idx="16">
                  <c:v>6.5345127194667697E-4</c:v>
                </c:pt>
                <c:pt idx="17">
                  <c:v>7.3513268094001173E-4</c:v>
                </c:pt>
                <c:pt idx="18">
                  <c:v>8.1681408993334627E-4</c:v>
                </c:pt>
                <c:pt idx="19">
                  <c:v>1.6336281798666925E-3</c:v>
                </c:pt>
                <c:pt idx="20">
                  <c:v>2.4504422698000388E-3</c:v>
                </c:pt>
                <c:pt idx="21">
                  <c:v>3.2672563597333851E-3</c:v>
                </c:pt>
                <c:pt idx="22">
                  <c:v>4.0840704496667313E-3</c:v>
                </c:pt>
                <c:pt idx="23">
                  <c:v>4.9008845396000776E-3</c:v>
                </c:pt>
                <c:pt idx="24">
                  <c:v>5.7176986295334239E-3</c:v>
                </c:pt>
                <c:pt idx="25">
                  <c:v>6.5345127194667701E-3</c:v>
                </c:pt>
                <c:pt idx="26">
                  <c:v>7.3513268094001155E-3</c:v>
                </c:pt>
                <c:pt idx="27">
                  <c:v>8.1681408993334627E-3</c:v>
                </c:pt>
                <c:pt idx="28">
                  <c:v>1.6336281798666925E-2</c:v>
                </c:pt>
                <c:pt idx="29">
                  <c:v>2.4504422698000385E-2</c:v>
                </c:pt>
                <c:pt idx="30">
                  <c:v>3.2672563597333851E-2</c:v>
                </c:pt>
                <c:pt idx="31">
                  <c:v>4.084070449666731E-2</c:v>
                </c:pt>
                <c:pt idx="32">
                  <c:v>4.9008845396000769E-2</c:v>
                </c:pt>
                <c:pt idx="33">
                  <c:v>5.7176986295334235E-2</c:v>
                </c:pt>
                <c:pt idx="34">
                  <c:v>6.5345127194667701E-2</c:v>
                </c:pt>
                <c:pt idx="35">
                  <c:v>7.3513268094001161E-2</c:v>
                </c:pt>
                <c:pt idx="36">
                  <c:v>8.168140899333462E-2</c:v>
                </c:pt>
                <c:pt idx="37">
                  <c:v>0.16336281798666924</c:v>
                </c:pt>
                <c:pt idx="38">
                  <c:v>0.24504422698000389</c:v>
                </c:pt>
                <c:pt idx="39">
                  <c:v>0.32672563597333848</c:v>
                </c:pt>
                <c:pt idx="40">
                  <c:v>0.40840704496667307</c:v>
                </c:pt>
                <c:pt idx="41">
                  <c:v>0.49008845396000777</c:v>
                </c:pt>
                <c:pt idx="42">
                  <c:v>0.57176986295334231</c:v>
                </c:pt>
                <c:pt idx="43">
                  <c:v>0.65345127194667696</c:v>
                </c:pt>
                <c:pt idx="44">
                  <c:v>0.73513268094001172</c:v>
                </c:pt>
                <c:pt idx="45">
                  <c:v>0.81681408993334614</c:v>
                </c:pt>
                <c:pt idx="46">
                  <c:v>1.6336281798666923</c:v>
                </c:pt>
                <c:pt idx="47">
                  <c:v>2.450442269800039</c:v>
                </c:pt>
                <c:pt idx="48">
                  <c:v>3.2672563597333846</c:v>
                </c:pt>
                <c:pt idx="49">
                  <c:v>4.0840704496667311</c:v>
                </c:pt>
                <c:pt idx="50">
                  <c:v>4.900884539600078</c:v>
                </c:pt>
                <c:pt idx="51">
                  <c:v>5.7176986295334231</c:v>
                </c:pt>
                <c:pt idx="52">
                  <c:v>6.5345127194667691</c:v>
                </c:pt>
                <c:pt idx="53">
                  <c:v>7.3513268094001152</c:v>
                </c:pt>
                <c:pt idx="54">
                  <c:v>8.1681408993334621</c:v>
                </c:pt>
                <c:pt idx="55">
                  <c:v>16.336281798666924</c:v>
                </c:pt>
                <c:pt idx="56">
                  <c:v>24.504422698000386</c:v>
                </c:pt>
                <c:pt idx="57">
                  <c:v>32.672563597333848</c:v>
                </c:pt>
                <c:pt idx="58">
                  <c:v>40.840704496667314</c:v>
                </c:pt>
                <c:pt idx="59">
                  <c:v>49.008845396000773</c:v>
                </c:pt>
                <c:pt idx="60">
                  <c:v>57.176986295334238</c:v>
                </c:pt>
                <c:pt idx="61">
                  <c:v>65.345127194667697</c:v>
                </c:pt>
                <c:pt idx="62">
                  <c:v>73.513268094001162</c:v>
                </c:pt>
                <c:pt idx="63">
                  <c:v>81.681408993334628</c:v>
                </c:pt>
                <c:pt idx="64">
                  <c:v>163.36281798666926</c:v>
                </c:pt>
                <c:pt idx="65">
                  <c:v>245.04422698000386</c:v>
                </c:pt>
                <c:pt idx="66">
                  <c:v>326.72563597333851</c:v>
                </c:pt>
                <c:pt idx="67">
                  <c:v>408.40704496667308</c:v>
                </c:pt>
                <c:pt idx="68">
                  <c:v>490.08845396000771</c:v>
                </c:pt>
                <c:pt idx="69">
                  <c:v>571.76986295334245</c:v>
                </c:pt>
                <c:pt idx="70">
                  <c:v>653.45127194667702</c:v>
                </c:pt>
                <c:pt idx="71">
                  <c:v>735.1326809400116</c:v>
                </c:pt>
                <c:pt idx="72">
                  <c:v>816.81408993334617</c:v>
                </c:pt>
                <c:pt idx="73">
                  <c:v>1633.6281798666923</c:v>
                </c:pt>
                <c:pt idx="74">
                  <c:v>2450.4422698000385</c:v>
                </c:pt>
                <c:pt idx="75">
                  <c:v>3267.2563597333847</c:v>
                </c:pt>
                <c:pt idx="76">
                  <c:v>4084.0704496667308</c:v>
                </c:pt>
                <c:pt idx="77">
                  <c:v>4900.884539600077</c:v>
                </c:pt>
                <c:pt idx="78">
                  <c:v>5717.6986295334227</c:v>
                </c:pt>
                <c:pt idx="79">
                  <c:v>6534.5127194667693</c:v>
                </c:pt>
                <c:pt idx="80">
                  <c:v>7351.3268094001169</c:v>
                </c:pt>
                <c:pt idx="81">
                  <c:v>8168.1408993334617</c:v>
                </c:pt>
              </c:numCache>
            </c:numRef>
          </c:yVal>
          <c:smooth val="0"/>
          <c:extLst>
            <c:ext xmlns:c16="http://schemas.microsoft.com/office/drawing/2014/chart" uri="{C3380CC4-5D6E-409C-BE32-E72D297353CC}">
              <c16:uniqueId val="{00000001-E48C-4E66-996F-5C67296C9330}"/>
            </c:ext>
          </c:extLst>
        </c:ser>
        <c:ser>
          <c:idx val="2"/>
          <c:order val="2"/>
          <c:tx>
            <c:strRef>
              <c:f>'Capacitor Impedance'!$AC$3</c:f>
              <c:strCache>
                <c:ptCount val="1"/>
                <c:pt idx="0">
                  <c:v>805, 0.9nH</c:v>
                </c:pt>
              </c:strCache>
            </c:strRef>
          </c:tx>
          <c:spPr>
            <a:ln w="25400" cap="rnd">
              <a:solidFill>
                <a:schemeClr val="accent3"/>
              </a:solidFill>
              <a:round/>
            </a:ln>
            <a:effectLst/>
          </c:spPr>
          <c:marker>
            <c:symbol val="none"/>
          </c:marker>
          <c:xVal>
            <c:numRef>
              <c:f>'Capacitor Impedance'!$Q$6:$Q$87</c:f>
              <c:numCache>
                <c:formatCode>#,##0</c:formatCode>
                <c:ptCount val="82"/>
                <c:pt idx="0">
                  <c:v>1</c:v>
                </c:pt>
                <c:pt idx="1">
                  <c:v>2</c:v>
                </c:pt>
                <c:pt idx="2">
                  <c:v>3</c:v>
                </c:pt>
                <c:pt idx="3">
                  <c:v>4</c:v>
                </c:pt>
                <c:pt idx="4">
                  <c:v>5</c:v>
                </c:pt>
                <c:pt idx="5">
                  <c:v>6</c:v>
                </c:pt>
                <c:pt idx="6">
                  <c:v>7</c:v>
                </c:pt>
                <c:pt idx="7">
                  <c:v>8</c:v>
                </c:pt>
                <c:pt idx="8">
                  <c:v>9</c:v>
                </c:pt>
                <c:pt idx="9">
                  <c:v>10</c:v>
                </c:pt>
                <c:pt idx="10">
                  <c:v>20</c:v>
                </c:pt>
                <c:pt idx="11">
                  <c:v>30</c:v>
                </c:pt>
                <c:pt idx="12">
                  <c:v>40</c:v>
                </c:pt>
                <c:pt idx="13">
                  <c:v>50</c:v>
                </c:pt>
                <c:pt idx="14">
                  <c:v>60</c:v>
                </c:pt>
                <c:pt idx="15">
                  <c:v>70</c:v>
                </c:pt>
                <c:pt idx="16">
                  <c:v>80</c:v>
                </c:pt>
                <c:pt idx="17">
                  <c:v>90</c:v>
                </c:pt>
                <c:pt idx="18">
                  <c:v>100</c:v>
                </c:pt>
                <c:pt idx="19">
                  <c:v>200</c:v>
                </c:pt>
                <c:pt idx="20">
                  <c:v>300</c:v>
                </c:pt>
                <c:pt idx="21">
                  <c:v>400</c:v>
                </c:pt>
                <c:pt idx="22">
                  <c:v>500</c:v>
                </c:pt>
                <c:pt idx="23">
                  <c:v>600</c:v>
                </c:pt>
                <c:pt idx="24">
                  <c:v>700</c:v>
                </c:pt>
                <c:pt idx="25">
                  <c:v>800</c:v>
                </c:pt>
                <c:pt idx="26">
                  <c:v>900</c:v>
                </c:pt>
                <c:pt idx="27">
                  <c:v>1000</c:v>
                </c:pt>
                <c:pt idx="28">
                  <c:v>2000</c:v>
                </c:pt>
                <c:pt idx="29">
                  <c:v>3000</c:v>
                </c:pt>
                <c:pt idx="30">
                  <c:v>4000</c:v>
                </c:pt>
                <c:pt idx="31">
                  <c:v>5000</c:v>
                </c:pt>
                <c:pt idx="32">
                  <c:v>6000</c:v>
                </c:pt>
                <c:pt idx="33">
                  <c:v>7000</c:v>
                </c:pt>
                <c:pt idx="34">
                  <c:v>8000</c:v>
                </c:pt>
                <c:pt idx="35">
                  <c:v>9000</c:v>
                </c:pt>
                <c:pt idx="36">
                  <c:v>10000</c:v>
                </c:pt>
                <c:pt idx="37">
                  <c:v>20000</c:v>
                </c:pt>
                <c:pt idx="38">
                  <c:v>30000</c:v>
                </c:pt>
                <c:pt idx="39">
                  <c:v>40000</c:v>
                </c:pt>
                <c:pt idx="40">
                  <c:v>50000</c:v>
                </c:pt>
                <c:pt idx="41">
                  <c:v>60000</c:v>
                </c:pt>
                <c:pt idx="42">
                  <c:v>70000</c:v>
                </c:pt>
                <c:pt idx="43">
                  <c:v>80000</c:v>
                </c:pt>
                <c:pt idx="44">
                  <c:v>90000</c:v>
                </c:pt>
                <c:pt idx="45">
                  <c:v>100000</c:v>
                </c:pt>
                <c:pt idx="46">
                  <c:v>200000</c:v>
                </c:pt>
                <c:pt idx="47">
                  <c:v>300000</c:v>
                </c:pt>
                <c:pt idx="48">
                  <c:v>400000</c:v>
                </c:pt>
                <c:pt idx="49">
                  <c:v>500000</c:v>
                </c:pt>
                <c:pt idx="50">
                  <c:v>600000</c:v>
                </c:pt>
                <c:pt idx="51">
                  <c:v>700000</c:v>
                </c:pt>
                <c:pt idx="52">
                  <c:v>800000</c:v>
                </c:pt>
                <c:pt idx="53">
                  <c:v>900000</c:v>
                </c:pt>
                <c:pt idx="54">
                  <c:v>1000000</c:v>
                </c:pt>
                <c:pt idx="55">
                  <c:v>2000000</c:v>
                </c:pt>
                <c:pt idx="56">
                  <c:v>3000000</c:v>
                </c:pt>
                <c:pt idx="57">
                  <c:v>4000000</c:v>
                </c:pt>
                <c:pt idx="58">
                  <c:v>5000000</c:v>
                </c:pt>
                <c:pt idx="59">
                  <c:v>6000000</c:v>
                </c:pt>
                <c:pt idx="60">
                  <c:v>7000000</c:v>
                </c:pt>
                <c:pt idx="61">
                  <c:v>8000000</c:v>
                </c:pt>
                <c:pt idx="62">
                  <c:v>9000000</c:v>
                </c:pt>
                <c:pt idx="63">
                  <c:v>10000000</c:v>
                </c:pt>
                <c:pt idx="64">
                  <c:v>20000000</c:v>
                </c:pt>
                <c:pt idx="65">
                  <c:v>30000000</c:v>
                </c:pt>
                <c:pt idx="66">
                  <c:v>40000000</c:v>
                </c:pt>
                <c:pt idx="67">
                  <c:v>50000000</c:v>
                </c:pt>
                <c:pt idx="68">
                  <c:v>60000000</c:v>
                </c:pt>
                <c:pt idx="69">
                  <c:v>70000000</c:v>
                </c:pt>
                <c:pt idx="70">
                  <c:v>80000000</c:v>
                </c:pt>
                <c:pt idx="71">
                  <c:v>90000000</c:v>
                </c:pt>
                <c:pt idx="72">
                  <c:v>100000000</c:v>
                </c:pt>
                <c:pt idx="73">
                  <c:v>200000000</c:v>
                </c:pt>
                <c:pt idx="74">
                  <c:v>300000000</c:v>
                </c:pt>
                <c:pt idx="75">
                  <c:v>400000000</c:v>
                </c:pt>
                <c:pt idx="76">
                  <c:v>500000000</c:v>
                </c:pt>
                <c:pt idx="77">
                  <c:v>600000000</c:v>
                </c:pt>
                <c:pt idx="78">
                  <c:v>700000000</c:v>
                </c:pt>
                <c:pt idx="79">
                  <c:v>800000000</c:v>
                </c:pt>
                <c:pt idx="80">
                  <c:v>900000000</c:v>
                </c:pt>
                <c:pt idx="81">
                  <c:v>1000000000</c:v>
                </c:pt>
              </c:numCache>
            </c:numRef>
          </c:xVal>
          <c:yVal>
            <c:numRef>
              <c:f>'Capacitor Impedance'!$AC$6:$AC$87</c:f>
              <c:numCache>
                <c:formatCode>0.0000000000</c:formatCode>
                <c:ptCount val="82"/>
                <c:pt idx="0">
                  <c:v>5.6548667764616283E-6</c:v>
                </c:pt>
                <c:pt idx="1">
                  <c:v>1.1309733552923257E-5</c:v>
                </c:pt>
                <c:pt idx="2">
                  <c:v>1.6964600329384882E-5</c:v>
                </c:pt>
                <c:pt idx="3">
                  <c:v>2.2619467105846513E-5</c:v>
                </c:pt>
                <c:pt idx="4">
                  <c:v>2.8274333882308141E-5</c:v>
                </c:pt>
                <c:pt idx="5">
                  <c:v>3.3929200658769765E-5</c:v>
                </c:pt>
                <c:pt idx="6">
                  <c:v>3.9584067435231403E-5</c:v>
                </c:pt>
                <c:pt idx="7">
                  <c:v>4.5238934211693027E-5</c:v>
                </c:pt>
                <c:pt idx="8">
                  <c:v>5.0893800988154651E-5</c:v>
                </c:pt>
                <c:pt idx="9">
                  <c:v>5.6548667764616282E-5</c:v>
                </c:pt>
                <c:pt idx="10">
                  <c:v>1.1309733552923256E-4</c:v>
                </c:pt>
                <c:pt idx="11">
                  <c:v>1.6964600329384883E-4</c:v>
                </c:pt>
                <c:pt idx="12">
                  <c:v>2.2619467105846513E-4</c:v>
                </c:pt>
                <c:pt idx="13">
                  <c:v>2.8274333882308142E-4</c:v>
                </c:pt>
                <c:pt idx="14">
                  <c:v>3.3929200658769766E-4</c:v>
                </c:pt>
                <c:pt idx="15">
                  <c:v>3.9584067435231396E-4</c:v>
                </c:pt>
                <c:pt idx="16">
                  <c:v>4.5238934211693025E-4</c:v>
                </c:pt>
                <c:pt idx="17">
                  <c:v>5.0893800988154655E-4</c:v>
                </c:pt>
                <c:pt idx="18">
                  <c:v>5.6548667764616284E-4</c:v>
                </c:pt>
                <c:pt idx="19">
                  <c:v>1.1309733552923257E-3</c:v>
                </c:pt>
                <c:pt idx="20">
                  <c:v>1.6964600329384884E-3</c:v>
                </c:pt>
                <c:pt idx="21">
                  <c:v>2.2619467105846514E-3</c:v>
                </c:pt>
                <c:pt idx="22">
                  <c:v>2.8274333882308137E-3</c:v>
                </c:pt>
                <c:pt idx="23">
                  <c:v>3.3929200658769768E-3</c:v>
                </c:pt>
                <c:pt idx="24">
                  <c:v>3.9584067435231391E-3</c:v>
                </c:pt>
                <c:pt idx="25">
                  <c:v>4.5238934211693027E-3</c:v>
                </c:pt>
                <c:pt idx="26">
                  <c:v>5.0893800988154655E-3</c:v>
                </c:pt>
                <c:pt idx="27">
                  <c:v>5.6548667764616273E-3</c:v>
                </c:pt>
                <c:pt idx="28">
                  <c:v>1.1309733552923255E-2</c:v>
                </c:pt>
                <c:pt idx="29">
                  <c:v>1.6964600329384887E-2</c:v>
                </c:pt>
                <c:pt idx="30">
                  <c:v>2.2619467105846509E-2</c:v>
                </c:pt>
                <c:pt idx="31">
                  <c:v>2.8274333882308142E-2</c:v>
                </c:pt>
                <c:pt idx="32">
                  <c:v>3.3929200658769774E-2</c:v>
                </c:pt>
                <c:pt idx="33">
                  <c:v>3.9584067435231393E-2</c:v>
                </c:pt>
                <c:pt idx="34">
                  <c:v>4.5238934211693019E-2</c:v>
                </c:pt>
                <c:pt idx="35">
                  <c:v>5.0893800988154658E-2</c:v>
                </c:pt>
                <c:pt idx="36">
                  <c:v>5.6548667764616284E-2</c:v>
                </c:pt>
                <c:pt idx="37">
                  <c:v>0.11309733552923257</c:v>
                </c:pt>
                <c:pt idx="38">
                  <c:v>0.16964600329384885</c:v>
                </c:pt>
                <c:pt idx="39">
                  <c:v>0.22619467105846514</c:v>
                </c:pt>
                <c:pt idx="40">
                  <c:v>0.28274333882308139</c:v>
                </c:pt>
                <c:pt idx="41">
                  <c:v>0.3392920065876977</c:v>
                </c:pt>
                <c:pt idx="42">
                  <c:v>0.39584067435231396</c:v>
                </c:pt>
                <c:pt idx="43">
                  <c:v>0.45238934211693027</c:v>
                </c:pt>
                <c:pt idx="44">
                  <c:v>0.50893800988154658</c:v>
                </c:pt>
                <c:pt idx="45">
                  <c:v>0.56548667764616278</c:v>
                </c:pt>
                <c:pt idx="46">
                  <c:v>1.1309733552923256</c:v>
                </c:pt>
                <c:pt idx="47">
                  <c:v>1.6964600329384885</c:v>
                </c:pt>
                <c:pt idx="48">
                  <c:v>2.2619467105846511</c:v>
                </c:pt>
                <c:pt idx="49">
                  <c:v>2.8274333882308142</c:v>
                </c:pt>
                <c:pt idx="50">
                  <c:v>3.3929200658769769</c:v>
                </c:pt>
                <c:pt idx="51">
                  <c:v>3.9584067435231391</c:v>
                </c:pt>
                <c:pt idx="52">
                  <c:v>4.5238934211693023</c:v>
                </c:pt>
                <c:pt idx="53">
                  <c:v>5.0893800988154654</c:v>
                </c:pt>
                <c:pt idx="54">
                  <c:v>5.6548667764616285</c:v>
                </c:pt>
                <c:pt idx="55">
                  <c:v>11.309733552923257</c:v>
                </c:pt>
                <c:pt idx="56">
                  <c:v>16.964600329384883</c:v>
                </c:pt>
                <c:pt idx="57">
                  <c:v>22.619467105846514</c:v>
                </c:pt>
                <c:pt idx="58">
                  <c:v>28.274333882308142</c:v>
                </c:pt>
                <c:pt idx="59">
                  <c:v>33.929200658769766</c:v>
                </c:pt>
                <c:pt idx="60">
                  <c:v>39.584067435231397</c:v>
                </c:pt>
                <c:pt idx="61">
                  <c:v>45.238934211693028</c:v>
                </c:pt>
                <c:pt idx="62">
                  <c:v>50.893800988154652</c:v>
                </c:pt>
                <c:pt idx="63">
                  <c:v>56.548667764616283</c:v>
                </c:pt>
                <c:pt idx="64">
                  <c:v>113.09733552923257</c:v>
                </c:pt>
                <c:pt idx="65">
                  <c:v>169.64600329384885</c:v>
                </c:pt>
                <c:pt idx="66">
                  <c:v>226.19467105846513</c:v>
                </c:pt>
                <c:pt idx="67">
                  <c:v>282.74333882308139</c:v>
                </c:pt>
                <c:pt idx="68">
                  <c:v>339.2920065876977</c:v>
                </c:pt>
                <c:pt idx="69">
                  <c:v>395.84067435231395</c:v>
                </c:pt>
                <c:pt idx="70">
                  <c:v>452.38934211693027</c:v>
                </c:pt>
                <c:pt idx="71">
                  <c:v>508.93800988154658</c:v>
                </c:pt>
                <c:pt idx="72">
                  <c:v>565.48667764616278</c:v>
                </c:pt>
                <c:pt idx="73">
                  <c:v>1130.9733552923256</c:v>
                </c:pt>
                <c:pt idx="74">
                  <c:v>1696.4600329384884</c:v>
                </c:pt>
                <c:pt idx="75">
                  <c:v>2261.9467105846511</c:v>
                </c:pt>
                <c:pt idx="76">
                  <c:v>2827.4333882308142</c:v>
                </c:pt>
                <c:pt idx="77">
                  <c:v>3392.9200658769769</c:v>
                </c:pt>
                <c:pt idx="78">
                  <c:v>3958.4067435231395</c:v>
                </c:pt>
                <c:pt idx="79">
                  <c:v>4523.8934211693022</c:v>
                </c:pt>
                <c:pt idx="80">
                  <c:v>5089.3800988154653</c:v>
                </c:pt>
                <c:pt idx="81">
                  <c:v>5654.8667764616284</c:v>
                </c:pt>
              </c:numCache>
            </c:numRef>
          </c:yVal>
          <c:smooth val="0"/>
          <c:extLst>
            <c:ext xmlns:c16="http://schemas.microsoft.com/office/drawing/2014/chart" uri="{C3380CC4-5D6E-409C-BE32-E72D297353CC}">
              <c16:uniqueId val="{00000002-E48C-4E66-996F-5C67296C9330}"/>
            </c:ext>
          </c:extLst>
        </c:ser>
        <c:ser>
          <c:idx val="3"/>
          <c:order val="3"/>
          <c:tx>
            <c:strRef>
              <c:f>'Capacitor Impedance'!$AH$3</c:f>
              <c:strCache>
                <c:ptCount val="1"/>
                <c:pt idx="0">
                  <c:v>603, 0.6nH</c:v>
                </c:pt>
              </c:strCache>
            </c:strRef>
          </c:tx>
          <c:spPr>
            <a:ln w="25400" cap="rnd">
              <a:solidFill>
                <a:schemeClr val="accent4"/>
              </a:solidFill>
              <a:round/>
            </a:ln>
            <a:effectLst/>
          </c:spPr>
          <c:marker>
            <c:symbol val="none"/>
          </c:marker>
          <c:xVal>
            <c:numRef>
              <c:f>'Capacitor Impedance'!$Q$6:$Q$87</c:f>
              <c:numCache>
                <c:formatCode>#,##0</c:formatCode>
                <c:ptCount val="82"/>
                <c:pt idx="0">
                  <c:v>1</c:v>
                </c:pt>
                <c:pt idx="1">
                  <c:v>2</c:v>
                </c:pt>
                <c:pt idx="2">
                  <c:v>3</c:v>
                </c:pt>
                <c:pt idx="3">
                  <c:v>4</c:v>
                </c:pt>
                <c:pt idx="4">
                  <c:v>5</c:v>
                </c:pt>
                <c:pt idx="5">
                  <c:v>6</c:v>
                </c:pt>
                <c:pt idx="6">
                  <c:v>7</c:v>
                </c:pt>
                <c:pt idx="7">
                  <c:v>8</c:v>
                </c:pt>
                <c:pt idx="8">
                  <c:v>9</c:v>
                </c:pt>
                <c:pt idx="9">
                  <c:v>10</c:v>
                </c:pt>
                <c:pt idx="10">
                  <c:v>20</c:v>
                </c:pt>
                <c:pt idx="11">
                  <c:v>30</c:v>
                </c:pt>
                <c:pt idx="12">
                  <c:v>40</c:v>
                </c:pt>
                <c:pt idx="13">
                  <c:v>50</c:v>
                </c:pt>
                <c:pt idx="14">
                  <c:v>60</c:v>
                </c:pt>
                <c:pt idx="15">
                  <c:v>70</c:v>
                </c:pt>
                <c:pt idx="16">
                  <c:v>80</c:v>
                </c:pt>
                <c:pt idx="17">
                  <c:v>90</c:v>
                </c:pt>
                <c:pt idx="18">
                  <c:v>100</c:v>
                </c:pt>
                <c:pt idx="19">
                  <c:v>200</c:v>
                </c:pt>
                <c:pt idx="20">
                  <c:v>300</c:v>
                </c:pt>
                <c:pt idx="21">
                  <c:v>400</c:v>
                </c:pt>
                <c:pt idx="22">
                  <c:v>500</c:v>
                </c:pt>
                <c:pt idx="23">
                  <c:v>600</c:v>
                </c:pt>
                <c:pt idx="24">
                  <c:v>700</c:v>
                </c:pt>
                <c:pt idx="25">
                  <c:v>800</c:v>
                </c:pt>
                <c:pt idx="26">
                  <c:v>900</c:v>
                </c:pt>
                <c:pt idx="27">
                  <c:v>1000</c:v>
                </c:pt>
                <c:pt idx="28">
                  <c:v>2000</c:v>
                </c:pt>
                <c:pt idx="29">
                  <c:v>3000</c:v>
                </c:pt>
                <c:pt idx="30">
                  <c:v>4000</c:v>
                </c:pt>
                <c:pt idx="31">
                  <c:v>5000</c:v>
                </c:pt>
                <c:pt idx="32">
                  <c:v>6000</c:v>
                </c:pt>
                <c:pt idx="33">
                  <c:v>7000</c:v>
                </c:pt>
                <c:pt idx="34">
                  <c:v>8000</c:v>
                </c:pt>
                <c:pt idx="35">
                  <c:v>9000</c:v>
                </c:pt>
                <c:pt idx="36">
                  <c:v>10000</c:v>
                </c:pt>
                <c:pt idx="37">
                  <c:v>20000</c:v>
                </c:pt>
                <c:pt idx="38">
                  <c:v>30000</c:v>
                </c:pt>
                <c:pt idx="39">
                  <c:v>40000</c:v>
                </c:pt>
                <c:pt idx="40">
                  <c:v>50000</c:v>
                </c:pt>
                <c:pt idx="41">
                  <c:v>60000</c:v>
                </c:pt>
                <c:pt idx="42">
                  <c:v>70000</c:v>
                </c:pt>
                <c:pt idx="43">
                  <c:v>80000</c:v>
                </c:pt>
                <c:pt idx="44">
                  <c:v>90000</c:v>
                </c:pt>
                <c:pt idx="45">
                  <c:v>100000</c:v>
                </c:pt>
                <c:pt idx="46">
                  <c:v>200000</c:v>
                </c:pt>
                <c:pt idx="47">
                  <c:v>300000</c:v>
                </c:pt>
                <c:pt idx="48">
                  <c:v>400000</c:v>
                </c:pt>
                <c:pt idx="49">
                  <c:v>500000</c:v>
                </c:pt>
                <c:pt idx="50">
                  <c:v>600000</c:v>
                </c:pt>
                <c:pt idx="51">
                  <c:v>700000</c:v>
                </c:pt>
                <c:pt idx="52">
                  <c:v>800000</c:v>
                </c:pt>
                <c:pt idx="53">
                  <c:v>900000</c:v>
                </c:pt>
                <c:pt idx="54">
                  <c:v>1000000</c:v>
                </c:pt>
                <c:pt idx="55">
                  <c:v>2000000</c:v>
                </c:pt>
                <c:pt idx="56">
                  <c:v>3000000</c:v>
                </c:pt>
                <c:pt idx="57">
                  <c:v>4000000</c:v>
                </c:pt>
                <c:pt idx="58">
                  <c:v>5000000</c:v>
                </c:pt>
                <c:pt idx="59">
                  <c:v>6000000</c:v>
                </c:pt>
                <c:pt idx="60">
                  <c:v>7000000</c:v>
                </c:pt>
                <c:pt idx="61">
                  <c:v>8000000</c:v>
                </c:pt>
                <c:pt idx="62">
                  <c:v>9000000</c:v>
                </c:pt>
                <c:pt idx="63">
                  <c:v>10000000</c:v>
                </c:pt>
                <c:pt idx="64">
                  <c:v>20000000</c:v>
                </c:pt>
                <c:pt idx="65">
                  <c:v>30000000</c:v>
                </c:pt>
                <c:pt idx="66">
                  <c:v>40000000</c:v>
                </c:pt>
                <c:pt idx="67">
                  <c:v>50000000</c:v>
                </c:pt>
                <c:pt idx="68">
                  <c:v>60000000</c:v>
                </c:pt>
                <c:pt idx="69">
                  <c:v>70000000</c:v>
                </c:pt>
                <c:pt idx="70">
                  <c:v>80000000</c:v>
                </c:pt>
                <c:pt idx="71">
                  <c:v>90000000</c:v>
                </c:pt>
                <c:pt idx="72">
                  <c:v>100000000</c:v>
                </c:pt>
                <c:pt idx="73">
                  <c:v>200000000</c:v>
                </c:pt>
                <c:pt idx="74">
                  <c:v>300000000</c:v>
                </c:pt>
                <c:pt idx="75">
                  <c:v>400000000</c:v>
                </c:pt>
                <c:pt idx="76">
                  <c:v>500000000</c:v>
                </c:pt>
                <c:pt idx="77">
                  <c:v>600000000</c:v>
                </c:pt>
                <c:pt idx="78">
                  <c:v>700000000</c:v>
                </c:pt>
                <c:pt idx="79">
                  <c:v>800000000</c:v>
                </c:pt>
                <c:pt idx="80">
                  <c:v>900000000</c:v>
                </c:pt>
                <c:pt idx="81">
                  <c:v>1000000000</c:v>
                </c:pt>
              </c:numCache>
            </c:numRef>
          </c:xVal>
          <c:yVal>
            <c:numRef>
              <c:f>'Capacitor Impedance'!$AH$6:$AH$87</c:f>
              <c:numCache>
                <c:formatCode>0.0000000000</c:formatCode>
                <c:ptCount val="82"/>
                <c:pt idx="0">
                  <c:v>4.3982297150257108E-6</c:v>
                </c:pt>
                <c:pt idx="1">
                  <c:v>8.7964594300514217E-6</c:v>
                </c:pt>
                <c:pt idx="2">
                  <c:v>1.3194689145077129E-5</c:v>
                </c:pt>
                <c:pt idx="3">
                  <c:v>1.7592918860102843E-5</c:v>
                </c:pt>
                <c:pt idx="4">
                  <c:v>2.1991148575128552E-5</c:v>
                </c:pt>
                <c:pt idx="5">
                  <c:v>2.6389378290154258E-5</c:v>
                </c:pt>
                <c:pt idx="6">
                  <c:v>3.0787608005179971E-5</c:v>
                </c:pt>
                <c:pt idx="7">
                  <c:v>3.5185837720205687E-5</c:v>
                </c:pt>
                <c:pt idx="8">
                  <c:v>3.9584067435231396E-5</c:v>
                </c:pt>
                <c:pt idx="9">
                  <c:v>4.3982297150257105E-5</c:v>
                </c:pt>
                <c:pt idx="10">
                  <c:v>8.796459430051421E-5</c:v>
                </c:pt>
                <c:pt idx="11">
                  <c:v>1.319468914507713E-4</c:v>
                </c:pt>
                <c:pt idx="12">
                  <c:v>1.7592918860102842E-4</c:v>
                </c:pt>
                <c:pt idx="13">
                  <c:v>2.1991148575128551E-4</c:v>
                </c:pt>
                <c:pt idx="14">
                  <c:v>2.638937829015426E-4</c:v>
                </c:pt>
                <c:pt idx="15">
                  <c:v>3.0787608005179972E-4</c:v>
                </c:pt>
                <c:pt idx="16">
                  <c:v>3.5185837720205684E-4</c:v>
                </c:pt>
                <c:pt idx="17">
                  <c:v>3.958406743523139E-4</c:v>
                </c:pt>
                <c:pt idx="18">
                  <c:v>4.3982297150257102E-4</c:v>
                </c:pt>
                <c:pt idx="19">
                  <c:v>8.7964594300514204E-4</c:v>
                </c:pt>
                <c:pt idx="20">
                  <c:v>1.3194689145077129E-3</c:v>
                </c:pt>
                <c:pt idx="21">
                  <c:v>1.7592918860102841E-3</c:v>
                </c:pt>
                <c:pt idx="22">
                  <c:v>2.1991148575128548E-3</c:v>
                </c:pt>
                <c:pt idx="23">
                  <c:v>2.6389378290154258E-3</c:v>
                </c:pt>
                <c:pt idx="24">
                  <c:v>3.0787608005179968E-3</c:v>
                </c:pt>
                <c:pt idx="25">
                  <c:v>3.5185837720205682E-3</c:v>
                </c:pt>
                <c:pt idx="26">
                  <c:v>3.9584067435231391E-3</c:v>
                </c:pt>
                <c:pt idx="27">
                  <c:v>4.3982297150257097E-3</c:v>
                </c:pt>
                <c:pt idx="28">
                  <c:v>8.7964594300514194E-3</c:v>
                </c:pt>
                <c:pt idx="29">
                  <c:v>1.3194689145077132E-2</c:v>
                </c:pt>
                <c:pt idx="30">
                  <c:v>1.7592918860102839E-2</c:v>
                </c:pt>
                <c:pt idx="31">
                  <c:v>2.1991148575128551E-2</c:v>
                </c:pt>
                <c:pt idx="32">
                  <c:v>2.6389378290154263E-2</c:v>
                </c:pt>
                <c:pt idx="33">
                  <c:v>3.0787608005179972E-2</c:v>
                </c:pt>
                <c:pt idx="34">
                  <c:v>3.5185837720205677E-2</c:v>
                </c:pt>
                <c:pt idx="35">
                  <c:v>3.9584067435231393E-2</c:v>
                </c:pt>
                <c:pt idx="36">
                  <c:v>4.3982297150257102E-2</c:v>
                </c:pt>
                <c:pt idx="37">
                  <c:v>8.7964594300514204E-2</c:v>
                </c:pt>
                <c:pt idx="38">
                  <c:v>0.13194689145077129</c:v>
                </c:pt>
                <c:pt idx="39">
                  <c:v>0.17592918860102841</c:v>
                </c:pt>
                <c:pt idx="40">
                  <c:v>0.2199114857512855</c:v>
                </c:pt>
                <c:pt idx="41">
                  <c:v>0.26389378290154258</c:v>
                </c:pt>
                <c:pt idx="42">
                  <c:v>0.30787608005179973</c:v>
                </c:pt>
                <c:pt idx="43">
                  <c:v>0.35185837720205682</c:v>
                </c:pt>
                <c:pt idx="44">
                  <c:v>0.39584067435231396</c:v>
                </c:pt>
                <c:pt idx="45">
                  <c:v>0.43982297150257099</c:v>
                </c:pt>
                <c:pt idx="46">
                  <c:v>0.87964594300514198</c:v>
                </c:pt>
                <c:pt idx="47">
                  <c:v>1.3194689145077132</c:v>
                </c:pt>
                <c:pt idx="48">
                  <c:v>1.759291886010284</c:v>
                </c:pt>
                <c:pt idx="49">
                  <c:v>2.1991148575128547</c:v>
                </c:pt>
                <c:pt idx="50">
                  <c:v>2.6389378290154264</c:v>
                </c:pt>
                <c:pt idx="51">
                  <c:v>3.0787608005179967</c:v>
                </c:pt>
                <c:pt idx="52">
                  <c:v>3.5185837720205679</c:v>
                </c:pt>
                <c:pt idx="53">
                  <c:v>3.9584067435231391</c:v>
                </c:pt>
                <c:pt idx="54">
                  <c:v>4.3982297150257095</c:v>
                </c:pt>
                <c:pt idx="55">
                  <c:v>8.7964594300514189</c:v>
                </c:pt>
                <c:pt idx="56">
                  <c:v>13.194689145077129</c:v>
                </c:pt>
                <c:pt idx="57">
                  <c:v>17.592918860102838</c:v>
                </c:pt>
                <c:pt idx="58">
                  <c:v>21.991148575128552</c:v>
                </c:pt>
                <c:pt idx="59">
                  <c:v>26.389378290154259</c:v>
                </c:pt>
                <c:pt idx="60">
                  <c:v>30.787608005179973</c:v>
                </c:pt>
                <c:pt idx="61">
                  <c:v>35.185837720205676</c:v>
                </c:pt>
                <c:pt idx="62">
                  <c:v>39.58406743523139</c:v>
                </c:pt>
                <c:pt idx="63">
                  <c:v>43.982297150257104</c:v>
                </c:pt>
                <c:pt idx="64">
                  <c:v>87.964594300514207</c:v>
                </c:pt>
                <c:pt idx="65">
                  <c:v>131.94689145077129</c:v>
                </c:pt>
                <c:pt idx="66">
                  <c:v>175.92918860102841</c:v>
                </c:pt>
                <c:pt idx="67">
                  <c:v>219.91148575128548</c:v>
                </c:pt>
                <c:pt idx="68">
                  <c:v>263.89378290154258</c:v>
                </c:pt>
                <c:pt idx="69">
                  <c:v>307.8760800517997</c:v>
                </c:pt>
                <c:pt idx="70">
                  <c:v>351.85837720205683</c:v>
                </c:pt>
                <c:pt idx="71">
                  <c:v>395.8406743523139</c:v>
                </c:pt>
                <c:pt idx="72">
                  <c:v>439.82297150257097</c:v>
                </c:pt>
                <c:pt idx="73">
                  <c:v>879.64594300514193</c:v>
                </c:pt>
                <c:pt idx="74">
                  <c:v>1319.468914507713</c:v>
                </c:pt>
                <c:pt idx="75">
                  <c:v>1759.2918860102839</c:v>
                </c:pt>
                <c:pt idx="76">
                  <c:v>2199.114857512855</c:v>
                </c:pt>
                <c:pt idx="77">
                  <c:v>2638.9378290154259</c:v>
                </c:pt>
                <c:pt idx="78">
                  <c:v>3078.7608005179968</c:v>
                </c:pt>
                <c:pt idx="79">
                  <c:v>3518.5837720205677</c:v>
                </c:pt>
                <c:pt idx="80">
                  <c:v>3958.4067435231391</c:v>
                </c:pt>
                <c:pt idx="81">
                  <c:v>4398.22971502571</c:v>
                </c:pt>
              </c:numCache>
            </c:numRef>
          </c:yVal>
          <c:smooth val="0"/>
          <c:extLst>
            <c:ext xmlns:c16="http://schemas.microsoft.com/office/drawing/2014/chart" uri="{C3380CC4-5D6E-409C-BE32-E72D297353CC}">
              <c16:uniqueId val="{00000003-E48C-4E66-996F-5C67296C9330}"/>
            </c:ext>
          </c:extLst>
        </c:ser>
        <c:ser>
          <c:idx val="4"/>
          <c:order val="4"/>
          <c:tx>
            <c:strRef>
              <c:f>'Capacitor Impedance'!$AM$3</c:f>
              <c:strCache>
                <c:ptCount val="1"/>
                <c:pt idx="0">
                  <c:v>402, 0.4nH</c:v>
                </c:pt>
              </c:strCache>
            </c:strRef>
          </c:tx>
          <c:spPr>
            <a:ln w="25400" cap="rnd">
              <a:solidFill>
                <a:schemeClr val="accent5"/>
              </a:solidFill>
              <a:round/>
            </a:ln>
            <a:effectLst/>
          </c:spPr>
          <c:marker>
            <c:symbol val="none"/>
          </c:marker>
          <c:xVal>
            <c:numRef>
              <c:f>'Capacitor Impedance'!$Q$6:$Q$87</c:f>
              <c:numCache>
                <c:formatCode>#,##0</c:formatCode>
                <c:ptCount val="82"/>
                <c:pt idx="0">
                  <c:v>1</c:v>
                </c:pt>
                <c:pt idx="1">
                  <c:v>2</c:v>
                </c:pt>
                <c:pt idx="2">
                  <c:v>3</c:v>
                </c:pt>
                <c:pt idx="3">
                  <c:v>4</c:v>
                </c:pt>
                <c:pt idx="4">
                  <c:v>5</c:v>
                </c:pt>
                <c:pt idx="5">
                  <c:v>6</c:v>
                </c:pt>
                <c:pt idx="6">
                  <c:v>7</c:v>
                </c:pt>
                <c:pt idx="7">
                  <c:v>8</c:v>
                </c:pt>
                <c:pt idx="8">
                  <c:v>9</c:v>
                </c:pt>
                <c:pt idx="9">
                  <c:v>10</c:v>
                </c:pt>
                <c:pt idx="10">
                  <c:v>20</c:v>
                </c:pt>
                <c:pt idx="11">
                  <c:v>30</c:v>
                </c:pt>
                <c:pt idx="12">
                  <c:v>40</c:v>
                </c:pt>
                <c:pt idx="13">
                  <c:v>50</c:v>
                </c:pt>
                <c:pt idx="14">
                  <c:v>60</c:v>
                </c:pt>
                <c:pt idx="15">
                  <c:v>70</c:v>
                </c:pt>
                <c:pt idx="16">
                  <c:v>80</c:v>
                </c:pt>
                <c:pt idx="17">
                  <c:v>90</c:v>
                </c:pt>
                <c:pt idx="18">
                  <c:v>100</c:v>
                </c:pt>
                <c:pt idx="19">
                  <c:v>200</c:v>
                </c:pt>
                <c:pt idx="20">
                  <c:v>300</c:v>
                </c:pt>
                <c:pt idx="21">
                  <c:v>400</c:v>
                </c:pt>
                <c:pt idx="22">
                  <c:v>500</c:v>
                </c:pt>
                <c:pt idx="23">
                  <c:v>600</c:v>
                </c:pt>
                <c:pt idx="24">
                  <c:v>700</c:v>
                </c:pt>
                <c:pt idx="25">
                  <c:v>800</c:v>
                </c:pt>
                <c:pt idx="26">
                  <c:v>900</c:v>
                </c:pt>
                <c:pt idx="27">
                  <c:v>1000</c:v>
                </c:pt>
                <c:pt idx="28">
                  <c:v>2000</c:v>
                </c:pt>
                <c:pt idx="29">
                  <c:v>3000</c:v>
                </c:pt>
                <c:pt idx="30">
                  <c:v>4000</c:v>
                </c:pt>
                <c:pt idx="31">
                  <c:v>5000</c:v>
                </c:pt>
                <c:pt idx="32">
                  <c:v>6000</c:v>
                </c:pt>
                <c:pt idx="33">
                  <c:v>7000</c:v>
                </c:pt>
                <c:pt idx="34">
                  <c:v>8000</c:v>
                </c:pt>
                <c:pt idx="35">
                  <c:v>9000</c:v>
                </c:pt>
                <c:pt idx="36">
                  <c:v>10000</c:v>
                </c:pt>
                <c:pt idx="37">
                  <c:v>20000</c:v>
                </c:pt>
                <c:pt idx="38">
                  <c:v>30000</c:v>
                </c:pt>
                <c:pt idx="39">
                  <c:v>40000</c:v>
                </c:pt>
                <c:pt idx="40">
                  <c:v>50000</c:v>
                </c:pt>
                <c:pt idx="41">
                  <c:v>60000</c:v>
                </c:pt>
                <c:pt idx="42">
                  <c:v>70000</c:v>
                </c:pt>
                <c:pt idx="43">
                  <c:v>80000</c:v>
                </c:pt>
                <c:pt idx="44">
                  <c:v>90000</c:v>
                </c:pt>
                <c:pt idx="45">
                  <c:v>100000</c:v>
                </c:pt>
                <c:pt idx="46">
                  <c:v>200000</c:v>
                </c:pt>
                <c:pt idx="47">
                  <c:v>300000</c:v>
                </c:pt>
                <c:pt idx="48">
                  <c:v>400000</c:v>
                </c:pt>
                <c:pt idx="49">
                  <c:v>500000</c:v>
                </c:pt>
                <c:pt idx="50">
                  <c:v>600000</c:v>
                </c:pt>
                <c:pt idx="51">
                  <c:v>700000</c:v>
                </c:pt>
                <c:pt idx="52">
                  <c:v>800000</c:v>
                </c:pt>
                <c:pt idx="53">
                  <c:v>900000</c:v>
                </c:pt>
                <c:pt idx="54">
                  <c:v>1000000</c:v>
                </c:pt>
                <c:pt idx="55">
                  <c:v>2000000</c:v>
                </c:pt>
                <c:pt idx="56">
                  <c:v>3000000</c:v>
                </c:pt>
                <c:pt idx="57">
                  <c:v>4000000</c:v>
                </c:pt>
                <c:pt idx="58">
                  <c:v>5000000</c:v>
                </c:pt>
                <c:pt idx="59">
                  <c:v>6000000</c:v>
                </c:pt>
                <c:pt idx="60">
                  <c:v>7000000</c:v>
                </c:pt>
                <c:pt idx="61">
                  <c:v>8000000</c:v>
                </c:pt>
                <c:pt idx="62">
                  <c:v>9000000</c:v>
                </c:pt>
                <c:pt idx="63">
                  <c:v>10000000</c:v>
                </c:pt>
                <c:pt idx="64">
                  <c:v>20000000</c:v>
                </c:pt>
                <c:pt idx="65">
                  <c:v>30000000</c:v>
                </c:pt>
                <c:pt idx="66">
                  <c:v>40000000</c:v>
                </c:pt>
                <c:pt idx="67">
                  <c:v>50000000</c:v>
                </c:pt>
                <c:pt idx="68">
                  <c:v>60000000</c:v>
                </c:pt>
                <c:pt idx="69">
                  <c:v>70000000</c:v>
                </c:pt>
                <c:pt idx="70">
                  <c:v>80000000</c:v>
                </c:pt>
                <c:pt idx="71">
                  <c:v>90000000</c:v>
                </c:pt>
                <c:pt idx="72">
                  <c:v>100000000</c:v>
                </c:pt>
                <c:pt idx="73">
                  <c:v>200000000</c:v>
                </c:pt>
                <c:pt idx="74">
                  <c:v>300000000</c:v>
                </c:pt>
                <c:pt idx="75">
                  <c:v>400000000</c:v>
                </c:pt>
                <c:pt idx="76">
                  <c:v>500000000</c:v>
                </c:pt>
                <c:pt idx="77">
                  <c:v>600000000</c:v>
                </c:pt>
                <c:pt idx="78">
                  <c:v>700000000</c:v>
                </c:pt>
                <c:pt idx="79">
                  <c:v>800000000</c:v>
                </c:pt>
                <c:pt idx="80">
                  <c:v>900000000</c:v>
                </c:pt>
                <c:pt idx="81">
                  <c:v>1000000000</c:v>
                </c:pt>
              </c:numCache>
            </c:numRef>
          </c:xVal>
          <c:yVal>
            <c:numRef>
              <c:f>'Capacitor Impedance'!$AM$6:$AM$87</c:f>
              <c:numCache>
                <c:formatCode>0.0000000000</c:formatCode>
                <c:ptCount val="82"/>
                <c:pt idx="0">
                  <c:v>3.7699111843077517E-6</c:v>
                </c:pt>
                <c:pt idx="1">
                  <c:v>7.5398223686155033E-6</c:v>
                </c:pt>
                <c:pt idx="2">
                  <c:v>1.1309733552923255E-5</c:v>
                </c:pt>
                <c:pt idx="3">
                  <c:v>1.5079644737231007E-5</c:v>
                </c:pt>
                <c:pt idx="4">
                  <c:v>1.8849555921538758E-5</c:v>
                </c:pt>
                <c:pt idx="5">
                  <c:v>2.261946710584651E-5</c:v>
                </c:pt>
                <c:pt idx="6">
                  <c:v>2.6389378290154262E-5</c:v>
                </c:pt>
                <c:pt idx="7">
                  <c:v>3.0159289474462013E-5</c:v>
                </c:pt>
                <c:pt idx="8">
                  <c:v>3.3929200658769765E-5</c:v>
                </c:pt>
                <c:pt idx="9">
                  <c:v>3.7699111843077517E-5</c:v>
                </c:pt>
                <c:pt idx="10">
                  <c:v>7.5398223686155033E-5</c:v>
                </c:pt>
                <c:pt idx="11">
                  <c:v>1.1309733552923255E-4</c:v>
                </c:pt>
                <c:pt idx="12">
                  <c:v>1.5079644737231007E-4</c:v>
                </c:pt>
                <c:pt idx="13">
                  <c:v>1.884955592153876E-4</c:v>
                </c:pt>
                <c:pt idx="14">
                  <c:v>2.261946710584651E-4</c:v>
                </c:pt>
                <c:pt idx="15">
                  <c:v>2.638937829015426E-4</c:v>
                </c:pt>
                <c:pt idx="16">
                  <c:v>3.0159289474462013E-4</c:v>
                </c:pt>
                <c:pt idx="17">
                  <c:v>3.3929200658769766E-4</c:v>
                </c:pt>
                <c:pt idx="18">
                  <c:v>3.7699111843077519E-4</c:v>
                </c:pt>
                <c:pt idx="19">
                  <c:v>7.5398223686155038E-4</c:v>
                </c:pt>
                <c:pt idx="20">
                  <c:v>1.1309733552923255E-3</c:v>
                </c:pt>
                <c:pt idx="21">
                  <c:v>1.5079644737231008E-3</c:v>
                </c:pt>
                <c:pt idx="22">
                  <c:v>1.8849555921538759E-3</c:v>
                </c:pt>
                <c:pt idx="23">
                  <c:v>2.2619467105846509E-3</c:v>
                </c:pt>
                <c:pt idx="24">
                  <c:v>2.6389378290154258E-3</c:v>
                </c:pt>
                <c:pt idx="25">
                  <c:v>3.0159289474462015E-3</c:v>
                </c:pt>
                <c:pt idx="26">
                  <c:v>3.3929200658769764E-3</c:v>
                </c:pt>
                <c:pt idx="27">
                  <c:v>3.7699111843077517E-3</c:v>
                </c:pt>
                <c:pt idx="28">
                  <c:v>7.5398223686155034E-3</c:v>
                </c:pt>
                <c:pt idx="29">
                  <c:v>1.1309733552923255E-2</c:v>
                </c:pt>
                <c:pt idx="30">
                  <c:v>1.5079644737231007E-2</c:v>
                </c:pt>
                <c:pt idx="31">
                  <c:v>1.8849555921538759E-2</c:v>
                </c:pt>
                <c:pt idx="32">
                  <c:v>2.2619467105846509E-2</c:v>
                </c:pt>
                <c:pt idx="33">
                  <c:v>2.6389378290154263E-2</c:v>
                </c:pt>
                <c:pt idx="34">
                  <c:v>3.0159289474462014E-2</c:v>
                </c:pt>
                <c:pt idx="35">
                  <c:v>3.3929200658769768E-2</c:v>
                </c:pt>
                <c:pt idx="36">
                  <c:v>3.7699111843077518E-2</c:v>
                </c:pt>
                <c:pt idx="37">
                  <c:v>7.5398223686155036E-2</c:v>
                </c:pt>
                <c:pt idx="38">
                  <c:v>0.11309733552923255</c:v>
                </c:pt>
                <c:pt idx="39">
                  <c:v>0.15079644737231007</c:v>
                </c:pt>
                <c:pt idx="40">
                  <c:v>0.18849555921538758</c:v>
                </c:pt>
                <c:pt idx="41">
                  <c:v>0.22619467105846511</c:v>
                </c:pt>
                <c:pt idx="42">
                  <c:v>0.26389378290154258</c:v>
                </c:pt>
                <c:pt idx="43">
                  <c:v>0.30159289474462014</c:v>
                </c:pt>
                <c:pt idx="44">
                  <c:v>0.33929200658769765</c:v>
                </c:pt>
                <c:pt idx="45">
                  <c:v>0.37699111843077515</c:v>
                </c:pt>
                <c:pt idx="46">
                  <c:v>0.7539822368615503</c:v>
                </c:pt>
                <c:pt idx="47">
                  <c:v>1.1309733552923256</c:v>
                </c:pt>
                <c:pt idx="48">
                  <c:v>1.5079644737231006</c:v>
                </c:pt>
                <c:pt idx="49">
                  <c:v>1.8849555921538759</c:v>
                </c:pt>
                <c:pt idx="50">
                  <c:v>2.2619467105846511</c:v>
                </c:pt>
                <c:pt idx="51">
                  <c:v>2.638937829015426</c:v>
                </c:pt>
                <c:pt idx="52">
                  <c:v>3.0159289474462012</c:v>
                </c:pt>
                <c:pt idx="53">
                  <c:v>3.3929200658769765</c:v>
                </c:pt>
                <c:pt idx="54">
                  <c:v>3.7699111843077517</c:v>
                </c:pt>
                <c:pt idx="55">
                  <c:v>7.5398223686155035</c:v>
                </c:pt>
                <c:pt idx="56">
                  <c:v>11.309733552923255</c:v>
                </c:pt>
                <c:pt idx="57">
                  <c:v>15.079644737231007</c:v>
                </c:pt>
                <c:pt idx="58">
                  <c:v>18.849555921538759</c:v>
                </c:pt>
                <c:pt idx="59">
                  <c:v>22.61946710584651</c:v>
                </c:pt>
                <c:pt idx="60">
                  <c:v>26.389378290154262</c:v>
                </c:pt>
                <c:pt idx="61">
                  <c:v>30.159289474462014</c:v>
                </c:pt>
                <c:pt idx="62">
                  <c:v>33.929200658769759</c:v>
                </c:pt>
                <c:pt idx="63">
                  <c:v>37.699111843077517</c:v>
                </c:pt>
                <c:pt idx="64">
                  <c:v>75.398223686155035</c:v>
                </c:pt>
                <c:pt idx="65">
                  <c:v>113.09733552923255</c:v>
                </c:pt>
                <c:pt idx="66">
                  <c:v>150.79644737231007</c:v>
                </c:pt>
                <c:pt idx="67">
                  <c:v>188.49555921538757</c:v>
                </c:pt>
                <c:pt idx="68">
                  <c:v>226.1946710584651</c:v>
                </c:pt>
                <c:pt idx="69">
                  <c:v>263.89378290154264</c:v>
                </c:pt>
                <c:pt idx="70">
                  <c:v>301.59289474462014</c:v>
                </c:pt>
                <c:pt idx="71">
                  <c:v>339.29200658769764</c:v>
                </c:pt>
                <c:pt idx="72">
                  <c:v>376.99111843077515</c:v>
                </c:pt>
                <c:pt idx="73">
                  <c:v>753.98223686155029</c:v>
                </c:pt>
                <c:pt idx="74">
                  <c:v>1130.9733552923256</c:v>
                </c:pt>
                <c:pt idx="75">
                  <c:v>1507.9644737231006</c:v>
                </c:pt>
                <c:pt idx="76">
                  <c:v>1884.9555921538758</c:v>
                </c:pt>
                <c:pt idx="77">
                  <c:v>2261.9467105846511</c:v>
                </c:pt>
                <c:pt idx="78">
                  <c:v>2638.9378290154259</c:v>
                </c:pt>
                <c:pt idx="79">
                  <c:v>3015.9289474462012</c:v>
                </c:pt>
                <c:pt idx="80">
                  <c:v>3392.9200658769769</c:v>
                </c:pt>
                <c:pt idx="81">
                  <c:v>3769.9111843077517</c:v>
                </c:pt>
              </c:numCache>
            </c:numRef>
          </c:yVal>
          <c:smooth val="0"/>
          <c:extLst>
            <c:ext xmlns:c16="http://schemas.microsoft.com/office/drawing/2014/chart" uri="{C3380CC4-5D6E-409C-BE32-E72D297353CC}">
              <c16:uniqueId val="{00000004-E48C-4E66-996F-5C67296C9330}"/>
            </c:ext>
          </c:extLst>
        </c:ser>
        <c:ser>
          <c:idx val="5"/>
          <c:order val="5"/>
          <c:tx>
            <c:strRef>
              <c:f>'Capacitor Impedance'!$AR$3</c:f>
              <c:strCache>
                <c:ptCount val="1"/>
                <c:pt idx="0">
                  <c:v>201, 0.1nH</c:v>
                </c:pt>
              </c:strCache>
            </c:strRef>
          </c:tx>
          <c:spPr>
            <a:ln w="25400" cap="rnd">
              <a:solidFill>
                <a:schemeClr val="accent6"/>
              </a:solidFill>
              <a:round/>
            </a:ln>
            <a:effectLst/>
          </c:spPr>
          <c:marker>
            <c:symbol val="none"/>
          </c:marker>
          <c:xVal>
            <c:numRef>
              <c:f>'Capacitor Impedance'!$Q$6:$Q$87</c:f>
              <c:numCache>
                <c:formatCode>#,##0</c:formatCode>
                <c:ptCount val="82"/>
                <c:pt idx="0">
                  <c:v>1</c:v>
                </c:pt>
                <c:pt idx="1">
                  <c:v>2</c:v>
                </c:pt>
                <c:pt idx="2">
                  <c:v>3</c:v>
                </c:pt>
                <c:pt idx="3">
                  <c:v>4</c:v>
                </c:pt>
                <c:pt idx="4">
                  <c:v>5</c:v>
                </c:pt>
                <c:pt idx="5">
                  <c:v>6</c:v>
                </c:pt>
                <c:pt idx="6">
                  <c:v>7</c:v>
                </c:pt>
                <c:pt idx="7">
                  <c:v>8</c:v>
                </c:pt>
                <c:pt idx="8">
                  <c:v>9</c:v>
                </c:pt>
                <c:pt idx="9">
                  <c:v>10</c:v>
                </c:pt>
                <c:pt idx="10">
                  <c:v>20</c:v>
                </c:pt>
                <c:pt idx="11">
                  <c:v>30</c:v>
                </c:pt>
                <c:pt idx="12">
                  <c:v>40</c:v>
                </c:pt>
                <c:pt idx="13">
                  <c:v>50</c:v>
                </c:pt>
                <c:pt idx="14">
                  <c:v>60</c:v>
                </c:pt>
                <c:pt idx="15">
                  <c:v>70</c:v>
                </c:pt>
                <c:pt idx="16">
                  <c:v>80</c:v>
                </c:pt>
                <c:pt idx="17">
                  <c:v>90</c:v>
                </c:pt>
                <c:pt idx="18">
                  <c:v>100</c:v>
                </c:pt>
                <c:pt idx="19">
                  <c:v>200</c:v>
                </c:pt>
                <c:pt idx="20">
                  <c:v>300</c:v>
                </c:pt>
                <c:pt idx="21">
                  <c:v>400</c:v>
                </c:pt>
                <c:pt idx="22">
                  <c:v>500</c:v>
                </c:pt>
                <c:pt idx="23">
                  <c:v>600</c:v>
                </c:pt>
                <c:pt idx="24">
                  <c:v>700</c:v>
                </c:pt>
                <c:pt idx="25">
                  <c:v>800</c:v>
                </c:pt>
                <c:pt idx="26">
                  <c:v>900</c:v>
                </c:pt>
                <c:pt idx="27">
                  <c:v>1000</c:v>
                </c:pt>
                <c:pt idx="28">
                  <c:v>2000</c:v>
                </c:pt>
                <c:pt idx="29">
                  <c:v>3000</c:v>
                </c:pt>
                <c:pt idx="30">
                  <c:v>4000</c:v>
                </c:pt>
                <c:pt idx="31">
                  <c:v>5000</c:v>
                </c:pt>
                <c:pt idx="32">
                  <c:v>6000</c:v>
                </c:pt>
                <c:pt idx="33">
                  <c:v>7000</c:v>
                </c:pt>
                <c:pt idx="34">
                  <c:v>8000</c:v>
                </c:pt>
                <c:pt idx="35">
                  <c:v>9000</c:v>
                </c:pt>
                <c:pt idx="36">
                  <c:v>10000</c:v>
                </c:pt>
                <c:pt idx="37">
                  <c:v>20000</c:v>
                </c:pt>
                <c:pt idx="38">
                  <c:v>30000</c:v>
                </c:pt>
                <c:pt idx="39">
                  <c:v>40000</c:v>
                </c:pt>
                <c:pt idx="40">
                  <c:v>50000</c:v>
                </c:pt>
                <c:pt idx="41">
                  <c:v>60000</c:v>
                </c:pt>
                <c:pt idx="42">
                  <c:v>70000</c:v>
                </c:pt>
                <c:pt idx="43">
                  <c:v>80000</c:v>
                </c:pt>
                <c:pt idx="44">
                  <c:v>90000</c:v>
                </c:pt>
                <c:pt idx="45">
                  <c:v>100000</c:v>
                </c:pt>
                <c:pt idx="46">
                  <c:v>200000</c:v>
                </c:pt>
                <c:pt idx="47">
                  <c:v>300000</c:v>
                </c:pt>
                <c:pt idx="48">
                  <c:v>400000</c:v>
                </c:pt>
                <c:pt idx="49">
                  <c:v>500000</c:v>
                </c:pt>
                <c:pt idx="50">
                  <c:v>600000</c:v>
                </c:pt>
                <c:pt idx="51">
                  <c:v>700000</c:v>
                </c:pt>
                <c:pt idx="52">
                  <c:v>800000</c:v>
                </c:pt>
                <c:pt idx="53">
                  <c:v>900000</c:v>
                </c:pt>
                <c:pt idx="54">
                  <c:v>1000000</c:v>
                </c:pt>
                <c:pt idx="55">
                  <c:v>2000000</c:v>
                </c:pt>
                <c:pt idx="56">
                  <c:v>3000000</c:v>
                </c:pt>
                <c:pt idx="57">
                  <c:v>4000000</c:v>
                </c:pt>
                <c:pt idx="58">
                  <c:v>5000000</c:v>
                </c:pt>
                <c:pt idx="59">
                  <c:v>6000000</c:v>
                </c:pt>
                <c:pt idx="60">
                  <c:v>7000000</c:v>
                </c:pt>
                <c:pt idx="61">
                  <c:v>8000000</c:v>
                </c:pt>
                <c:pt idx="62">
                  <c:v>9000000</c:v>
                </c:pt>
                <c:pt idx="63">
                  <c:v>10000000</c:v>
                </c:pt>
                <c:pt idx="64">
                  <c:v>20000000</c:v>
                </c:pt>
                <c:pt idx="65">
                  <c:v>30000000</c:v>
                </c:pt>
                <c:pt idx="66">
                  <c:v>40000000</c:v>
                </c:pt>
                <c:pt idx="67">
                  <c:v>50000000</c:v>
                </c:pt>
                <c:pt idx="68">
                  <c:v>60000000</c:v>
                </c:pt>
                <c:pt idx="69">
                  <c:v>70000000</c:v>
                </c:pt>
                <c:pt idx="70">
                  <c:v>80000000</c:v>
                </c:pt>
                <c:pt idx="71">
                  <c:v>90000000</c:v>
                </c:pt>
                <c:pt idx="72">
                  <c:v>100000000</c:v>
                </c:pt>
                <c:pt idx="73">
                  <c:v>200000000</c:v>
                </c:pt>
                <c:pt idx="74">
                  <c:v>300000000</c:v>
                </c:pt>
                <c:pt idx="75">
                  <c:v>400000000</c:v>
                </c:pt>
                <c:pt idx="76">
                  <c:v>500000000</c:v>
                </c:pt>
                <c:pt idx="77">
                  <c:v>600000000</c:v>
                </c:pt>
                <c:pt idx="78">
                  <c:v>700000000</c:v>
                </c:pt>
                <c:pt idx="79">
                  <c:v>800000000</c:v>
                </c:pt>
                <c:pt idx="80">
                  <c:v>900000000</c:v>
                </c:pt>
                <c:pt idx="81">
                  <c:v>1000000000</c:v>
                </c:pt>
              </c:numCache>
            </c:numRef>
          </c:xVal>
          <c:yVal>
            <c:numRef>
              <c:f>'Capacitor Impedance'!$AR$6:$AR$87</c:f>
              <c:numCache>
                <c:formatCode>0.0000000000</c:formatCode>
                <c:ptCount val="82"/>
                <c:pt idx="0">
                  <c:v>2.5132741228718346E-6</c:v>
                </c:pt>
                <c:pt idx="1">
                  <c:v>5.0265482457436692E-6</c:v>
                </c:pt>
                <c:pt idx="2">
                  <c:v>7.539822368615505E-6</c:v>
                </c:pt>
                <c:pt idx="3">
                  <c:v>1.0053096491487338E-5</c:v>
                </c:pt>
                <c:pt idx="4">
                  <c:v>1.2566370614359175E-5</c:v>
                </c:pt>
                <c:pt idx="5">
                  <c:v>1.507964473723101E-5</c:v>
                </c:pt>
                <c:pt idx="6">
                  <c:v>1.7592918860102847E-5</c:v>
                </c:pt>
                <c:pt idx="7">
                  <c:v>2.0106192982974677E-5</c:v>
                </c:pt>
                <c:pt idx="8">
                  <c:v>2.2619467105846513E-5</c:v>
                </c:pt>
                <c:pt idx="9">
                  <c:v>2.513274122871835E-5</c:v>
                </c:pt>
                <c:pt idx="10">
                  <c:v>5.02654824574367E-5</c:v>
                </c:pt>
                <c:pt idx="11">
                  <c:v>7.5398223686155033E-5</c:v>
                </c:pt>
                <c:pt idx="12">
                  <c:v>1.005309649148734E-4</c:v>
                </c:pt>
                <c:pt idx="13">
                  <c:v>1.2566370614359174E-4</c:v>
                </c:pt>
                <c:pt idx="14">
                  <c:v>1.5079644737231007E-4</c:v>
                </c:pt>
                <c:pt idx="15">
                  <c:v>1.7592918860102845E-4</c:v>
                </c:pt>
                <c:pt idx="16">
                  <c:v>2.010619298297468E-4</c:v>
                </c:pt>
                <c:pt idx="17">
                  <c:v>2.2619467105846515E-4</c:v>
                </c:pt>
                <c:pt idx="18">
                  <c:v>2.5132741228718348E-4</c:v>
                </c:pt>
                <c:pt idx="19">
                  <c:v>5.0265482457436696E-4</c:v>
                </c:pt>
                <c:pt idx="20">
                  <c:v>7.5398223686155049E-4</c:v>
                </c:pt>
                <c:pt idx="21">
                  <c:v>1.0053096491487339E-3</c:v>
                </c:pt>
                <c:pt idx="22">
                  <c:v>1.2566370614359172E-3</c:v>
                </c:pt>
                <c:pt idx="23">
                  <c:v>1.507964473723101E-3</c:v>
                </c:pt>
                <c:pt idx="24">
                  <c:v>1.7592918860102843E-3</c:v>
                </c:pt>
                <c:pt idx="25">
                  <c:v>2.0106192982974678E-3</c:v>
                </c:pt>
                <c:pt idx="26">
                  <c:v>2.2619467105846514E-3</c:v>
                </c:pt>
                <c:pt idx="27">
                  <c:v>2.5132741228718345E-3</c:v>
                </c:pt>
                <c:pt idx="28">
                  <c:v>5.0265482457436689E-3</c:v>
                </c:pt>
                <c:pt idx="29">
                  <c:v>7.5398223686155052E-3</c:v>
                </c:pt>
                <c:pt idx="30">
                  <c:v>1.0053096491487338E-2</c:v>
                </c:pt>
                <c:pt idx="31">
                  <c:v>1.2566370614359175E-2</c:v>
                </c:pt>
                <c:pt idx="32">
                  <c:v>1.507964473723101E-2</c:v>
                </c:pt>
                <c:pt idx="33">
                  <c:v>1.7592918860102842E-2</c:v>
                </c:pt>
                <c:pt idx="34">
                  <c:v>2.0106192982974676E-2</c:v>
                </c:pt>
                <c:pt idx="35">
                  <c:v>2.2619467105846516E-2</c:v>
                </c:pt>
                <c:pt idx="36">
                  <c:v>2.513274122871835E-2</c:v>
                </c:pt>
                <c:pt idx="37">
                  <c:v>5.02654824574367E-2</c:v>
                </c:pt>
                <c:pt idx="38">
                  <c:v>7.539822368615505E-2</c:v>
                </c:pt>
                <c:pt idx="39">
                  <c:v>0.1005309649148734</c:v>
                </c:pt>
                <c:pt idx="40">
                  <c:v>0.12566370614359174</c:v>
                </c:pt>
                <c:pt idx="41">
                  <c:v>0.1507964473723101</c:v>
                </c:pt>
                <c:pt idx="42">
                  <c:v>0.17592918860102844</c:v>
                </c:pt>
                <c:pt idx="43">
                  <c:v>0.2010619298297468</c:v>
                </c:pt>
                <c:pt idx="44">
                  <c:v>0.22619467105846516</c:v>
                </c:pt>
                <c:pt idx="45">
                  <c:v>0.25132741228718347</c:v>
                </c:pt>
                <c:pt idx="46">
                  <c:v>0.50265482457436694</c:v>
                </c:pt>
                <c:pt idx="47">
                  <c:v>0.75398223686155053</c:v>
                </c:pt>
                <c:pt idx="48">
                  <c:v>1.0053096491487339</c:v>
                </c:pt>
                <c:pt idx="49">
                  <c:v>1.2566370614359175</c:v>
                </c:pt>
                <c:pt idx="50">
                  <c:v>1.5079644737231011</c:v>
                </c:pt>
                <c:pt idx="51">
                  <c:v>1.7592918860102844</c:v>
                </c:pt>
                <c:pt idx="52">
                  <c:v>2.0106192982974678</c:v>
                </c:pt>
                <c:pt idx="53">
                  <c:v>2.2619467105846516</c:v>
                </c:pt>
                <c:pt idx="54">
                  <c:v>2.5132741228718349</c:v>
                </c:pt>
                <c:pt idx="55">
                  <c:v>5.0265482457436699</c:v>
                </c:pt>
                <c:pt idx="56">
                  <c:v>7.5398223686155053</c:v>
                </c:pt>
                <c:pt idx="57">
                  <c:v>10.05309649148734</c:v>
                </c:pt>
                <c:pt idx="58">
                  <c:v>12.566370614359174</c:v>
                </c:pt>
                <c:pt idx="59">
                  <c:v>15.079644737231011</c:v>
                </c:pt>
                <c:pt idx="60">
                  <c:v>17.592918860102845</c:v>
                </c:pt>
                <c:pt idx="61">
                  <c:v>20.106192982974679</c:v>
                </c:pt>
                <c:pt idx="62">
                  <c:v>22.619467105846514</c:v>
                </c:pt>
                <c:pt idx="63">
                  <c:v>25.132741228718348</c:v>
                </c:pt>
                <c:pt idx="64">
                  <c:v>50.265482457436697</c:v>
                </c:pt>
                <c:pt idx="65">
                  <c:v>75.398223686155049</c:v>
                </c:pt>
                <c:pt idx="66">
                  <c:v>100.53096491487339</c:v>
                </c:pt>
                <c:pt idx="67">
                  <c:v>125.66370614359174</c:v>
                </c:pt>
                <c:pt idx="68">
                  <c:v>150.7964473723101</c:v>
                </c:pt>
                <c:pt idx="69">
                  <c:v>175.92918860102844</c:v>
                </c:pt>
                <c:pt idx="70">
                  <c:v>201.06192982974679</c:v>
                </c:pt>
                <c:pt idx="71">
                  <c:v>226.19467105846513</c:v>
                </c:pt>
                <c:pt idx="72">
                  <c:v>251.32741228718348</c:v>
                </c:pt>
                <c:pt idx="73">
                  <c:v>502.65482457436696</c:v>
                </c:pt>
                <c:pt idx="74">
                  <c:v>753.9822368615504</c:v>
                </c:pt>
                <c:pt idx="75">
                  <c:v>1005.3096491487339</c:v>
                </c:pt>
                <c:pt idx="76">
                  <c:v>1256.6370614359175</c:v>
                </c:pt>
                <c:pt idx="77">
                  <c:v>1507.9644737231008</c:v>
                </c:pt>
                <c:pt idx="78">
                  <c:v>1759.2918860102843</c:v>
                </c:pt>
                <c:pt idx="79">
                  <c:v>2010.6192982974678</c:v>
                </c:pt>
                <c:pt idx="80">
                  <c:v>2261.9467105846516</c:v>
                </c:pt>
                <c:pt idx="81">
                  <c:v>2513.2741228718351</c:v>
                </c:pt>
              </c:numCache>
            </c:numRef>
          </c:yVal>
          <c:smooth val="0"/>
          <c:extLst>
            <c:ext xmlns:c16="http://schemas.microsoft.com/office/drawing/2014/chart" uri="{C3380CC4-5D6E-409C-BE32-E72D297353CC}">
              <c16:uniqueId val="{00000005-E48C-4E66-996F-5C67296C9330}"/>
            </c:ext>
          </c:extLst>
        </c:ser>
        <c:dLbls>
          <c:showLegendKey val="0"/>
          <c:showVal val="0"/>
          <c:showCatName val="0"/>
          <c:showSerName val="0"/>
          <c:showPercent val="0"/>
          <c:showBubbleSize val="0"/>
        </c:dLbls>
        <c:axId val="408105248"/>
        <c:axId val="408106688"/>
      </c:scatterChart>
      <c:valAx>
        <c:axId val="408105248"/>
        <c:scaling>
          <c:logBase val="10"/>
          <c:orientation val="minMax"/>
        </c:scaling>
        <c:delete val="0"/>
        <c:axPos val="b"/>
        <c:majorGridlines>
          <c:spPr>
            <a:ln w="1270" cap="flat" cmpd="sng" algn="ctr">
              <a:solidFill>
                <a:srgbClr val="000000"/>
              </a:solidFill>
              <a:prstDash val="solid"/>
              <a:round/>
            </a:ln>
            <a:effectLst/>
          </c:spPr>
        </c:majorGridlines>
        <c:minorGridlines>
          <c:spPr>
            <a:ln w="1270" cap="flat" cmpd="sng" algn="ctr">
              <a:solidFill>
                <a:schemeClr val="bg1">
                  <a:lumMod val="75000"/>
                </a:schemeClr>
              </a:solidFill>
              <a:prstDash val="solid"/>
              <a:round/>
            </a:ln>
            <a:effectLst/>
          </c:spPr>
        </c:minorGridlines>
        <c:title>
          <c:tx>
            <c:rich>
              <a:bodyPr rot="0" spcFirstLastPara="1" vertOverflow="ellipsis" vert="horz" wrap="square" anchor="ctr" anchorCtr="1"/>
              <a:lstStyle/>
              <a:p>
                <a:pPr>
                  <a:defRPr sz="1100" b="0" i="0" u="none" strike="noStrike" kern="1200" baseline="0">
                    <a:solidFill>
                      <a:srgbClr val="000000"/>
                    </a:solidFill>
                    <a:latin typeface="Arial"/>
                    <a:ea typeface="Arial"/>
                    <a:cs typeface="Arial"/>
                  </a:defRPr>
                </a:pPr>
                <a:r>
                  <a:rPr lang="en-US" sz="1100"/>
                  <a:t>Frequency (Hz)</a:t>
                </a:r>
              </a:p>
            </c:rich>
          </c:tx>
          <c:overlay val="0"/>
          <c:spPr>
            <a:noFill/>
            <a:ln>
              <a:noFill/>
            </a:ln>
            <a:effectLst/>
          </c:spPr>
          <c:txPr>
            <a:bodyPr rot="0" spcFirstLastPara="1" vertOverflow="ellipsis" vert="horz" wrap="square" anchor="ctr" anchorCtr="1"/>
            <a:lstStyle/>
            <a:p>
              <a:pPr>
                <a:defRPr sz="1100" b="0" i="0" u="none" strike="noStrike" kern="1200" baseline="0">
                  <a:solidFill>
                    <a:srgbClr val="000000"/>
                  </a:solidFill>
                  <a:latin typeface="Arial"/>
                  <a:ea typeface="Arial"/>
                  <a:cs typeface="Arial"/>
                </a:defRPr>
              </a:pPr>
              <a:endParaRPr lang="en-US"/>
            </a:p>
          </c:txPr>
        </c:title>
        <c:numFmt formatCode="[&gt;999999]0,,&quot;M&quot;;[&gt;999]#,##0,&quot;K&quot;;General" sourceLinked="0"/>
        <c:majorTickMark val="in"/>
        <c:minorTickMark val="none"/>
        <c:tickLblPos val="nextTo"/>
        <c:spPr>
          <a:noFill/>
          <a:ln w="1270" cap="flat" cmpd="sng" algn="ctr">
            <a:solidFill>
              <a:srgbClr val="000000"/>
            </a:solidFill>
            <a:prstDash val="solid"/>
            <a:round/>
          </a:ln>
          <a:effectLst/>
        </c:spPr>
        <c:txPr>
          <a:bodyPr rot="-60000000" spcFirstLastPara="1" vertOverflow="ellipsis" vert="horz" wrap="square" anchor="ctr" anchorCtr="1"/>
          <a:lstStyle/>
          <a:p>
            <a:pPr>
              <a:defRPr sz="800" b="0" i="0" u="none" strike="noStrike" kern="1200" baseline="0">
                <a:solidFill>
                  <a:srgbClr val="000000"/>
                </a:solidFill>
                <a:latin typeface="Arial"/>
                <a:ea typeface="Arial"/>
                <a:cs typeface="Arial"/>
              </a:defRPr>
            </a:pPr>
            <a:endParaRPr lang="en-US"/>
          </a:p>
        </c:txPr>
        <c:crossAx val="408106688"/>
        <c:crossesAt val="1.0000000000000004E-6"/>
        <c:crossBetween val="midCat"/>
      </c:valAx>
      <c:valAx>
        <c:axId val="408106688"/>
        <c:scaling>
          <c:logBase val="10"/>
          <c:orientation val="minMax"/>
          <c:max val="100000"/>
          <c:min val="1.0000000000000002E-3"/>
        </c:scaling>
        <c:delete val="0"/>
        <c:axPos val="l"/>
        <c:majorGridlines>
          <c:spPr>
            <a:ln w="1270" cap="flat" cmpd="sng" algn="ctr">
              <a:solidFill>
                <a:srgbClr val="000000"/>
              </a:solidFill>
              <a:prstDash val="solid"/>
              <a:round/>
            </a:ln>
            <a:effectLst/>
          </c:spPr>
        </c:majorGridlines>
        <c:minorGridlines>
          <c:spPr>
            <a:ln w="1270" cap="flat" cmpd="sng" algn="ctr">
              <a:solidFill>
                <a:schemeClr val="bg1">
                  <a:lumMod val="75000"/>
                </a:schemeClr>
              </a:solidFill>
              <a:prstDash val="solid"/>
              <a:round/>
            </a:ln>
            <a:effectLst/>
          </c:spPr>
        </c:minorGridlines>
        <c:title>
          <c:tx>
            <c:rich>
              <a:bodyPr rot="-5400000" spcFirstLastPara="1" vertOverflow="ellipsis" vert="horz" wrap="square" anchor="ctr" anchorCtr="1"/>
              <a:lstStyle/>
              <a:p>
                <a:pPr>
                  <a:defRPr sz="1100" b="0" i="0" u="none" strike="noStrike" kern="1200" baseline="0">
                    <a:solidFill>
                      <a:srgbClr val="000000"/>
                    </a:solidFill>
                    <a:latin typeface="Arial"/>
                    <a:ea typeface="Arial"/>
                    <a:cs typeface="Arial"/>
                  </a:defRPr>
                </a:pPr>
                <a:r>
                  <a:rPr lang="en-US" sz="1100"/>
                  <a:t>Impedance (m</a:t>
                </a:r>
                <a:r>
                  <a:rPr lang="el-GR" sz="1100"/>
                  <a:t>Ω)</a:t>
                </a:r>
              </a:p>
            </c:rich>
          </c:tx>
          <c:overlay val="0"/>
          <c:spPr>
            <a:noFill/>
            <a:ln>
              <a:noFill/>
            </a:ln>
            <a:effectLst/>
          </c:spPr>
          <c:txPr>
            <a:bodyPr rot="-5400000" spcFirstLastPara="1" vertOverflow="ellipsis" vert="horz" wrap="square" anchor="ctr" anchorCtr="1"/>
            <a:lstStyle/>
            <a:p>
              <a:pPr>
                <a:defRPr sz="1100" b="0" i="0" u="none" strike="noStrike" kern="1200" baseline="0">
                  <a:solidFill>
                    <a:srgbClr val="000000"/>
                  </a:solidFill>
                  <a:latin typeface="Arial"/>
                  <a:ea typeface="Arial"/>
                  <a:cs typeface="Arial"/>
                </a:defRPr>
              </a:pPr>
              <a:endParaRPr lang="en-US"/>
            </a:p>
          </c:txPr>
        </c:title>
        <c:numFmt formatCode="[&lt;1]0.###;[&gt;0.1]###,###;" sourceLinked="0"/>
        <c:majorTickMark val="in"/>
        <c:minorTickMark val="none"/>
        <c:tickLblPos val="nextTo"/>
        <c:spPr>
          <a:noFill/>
          <a:ln w="1270" cap="flat" cmpd="sng" algn="ctr">
            <a:solidFill>
              <a:srgbClr val="000000"/>
            </a:solidFill>
            <a:prstDash val="solid"/>
            <a:round/>
          </a:ln>
          <a:effectLst/>
        </c:spPr>
        <c:txPr>
          <a:bodyPr rot="-60000000" spcFirstLastPara="1" vertOverflow="ellipsis" vert="horz" wrap="square" anchor="ctr" anchorCtr="1"/>
          <a:lstStyle/>
          <a:p>
            <a:pPr>
              <a:defRPr sz="900" b="0" i="0" u="none" strike="noStrike" kern="1200" baseline="0">
                <a:solidFill>
                  <a:srgbClr val="000000"/>
                </a:solidFill>
                <a:latin typeface="Arial"/>
                <a:ea typeface="Arial"/>
                <a:cs typeface="Arial"/>
              </a:defRPr>
            </a:pPr>
            <a:endParaRPr lang="en-US"/>
          </a:p>
        </c:txPr>
        <c:crossAx val="408105248"/>
        <c:crosses val="autoZero"/>
        <c:crossBetween val="midCat"/>
      </c:valAx>
      <c:spPr>
        <a:solidFill>
          <a:srgbClr val="FFFFFF"/>
        </a:solidFill>
        <a:ln w="1270">
          <a:solidFill>
            <a:srgbClr val="000000"/>
          </a:solidFill>
          <a:prstDash val="solid"/>
        </a:ln>
        <a:effectLst/>
      </c:spPr>
    </c:plotArea>
    <c:legend>
      <c:legendPos val="l"/>
      <c:layout>
        <c:manualLayout>
          <c:xMode val="edge"/>
          <c:yMode val="edge"/>
          <c:x val="0.13461475648877225"/>
          <c:y val="0.10997059395353359"/>
          <c:w val="0.15273199183435407"/>
          <c:h val="0.2749183435403908"/>
        </c:manualLayout>
      </c:layout>
      <c:overlay val="1"/>
      <c:spPr>
        <a:solidFill>
          <a:srgbClr val="FFFFFF"/>
        </a:solidFill>
        <a:ln w="3175">
          <a:solidFill>
            <a:srgbClr val="000000"/>
          </a:solidFill>
          <a:prstDash val="solid"/>
        </a:ln>
        <a:effectLst/>
      </c:spPr>
      <c:txPr>
        <a:bodyPr rot="0" spcFirstLastPara="1" vertOverflow="ellipsis" vert="horz" wrap="square" anchor="ctr" anchorCtr="1"/>
        <a:lstStyle/>
        <a:p>
          <a:pPr>
            <a:defRPr lang="en-US" sz="800" b="0" i="0" u="none" strike="noStrike" kern="1200" baseline="0">
              <a:solidFill>
                <a:srgbClr val="000000"/>
              </a:solidFill>
              <a:latin typeface="Arial"/>
              <a:ea typeface="Arial"/>
              <a:cs typeface="Arial"/>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3175" cap="flat" cmpd="sng" algn="ctr">
      <a:solidFill>
        <a:srgbClr val="000000"/>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rgbClr val="000000"/>
                </a:solidFill>
                <a:latin typeface="Arial"/>
                <a:ea typeface="Arial"/>
                <a:cs typeface="Arial"/>
              </a:defRPr>
            </a:pPr>
            <a:r>
              <a:rPr lang="en-US" sz="1100" b="1"/>
              <a:t>Impedance vs Frequency</a:t>
            </a:r>
          </a:p>
        </c:rich>
      </c:tx>
      <c:overlay val="0"/>
      <c:spPr>
        <a:noFill/>
        <a:ln>
          <a:noFill/>
        </a:ln>
        <a:effectLst/>
      </c:spPr>
      <c:txPr>
        <a:bodyPr rot="0" spcFirstLastPara="1" vertOverflow="ellipsis" vert="horz" wrap="square" anchor="ctr" anchorCtr="1"/>
        <a:lstStyle/>
        <a:p>
          <a:pPr>
            <a:defRPr sz="1100" b="1" i="0" u="none" strike="noStrike" kern="1200" spc="0" baseline="0">
              <a:solidFill>
                <a:srgbClr val="000000"/>
              </a:solidFill>
              <a:latin typeface="Arial"/>
              <a:ea typeface="Arial"/>
              <a:cs typeface="Arial"/>
            </a:defRPr>
          </a:pPr>
          <a:endParaRPr lang="en-US"/>
        </a:p>
      </c:txPr>
    </c:title>
    <c:autoTitleDeleted val="0"/>
    <c:plotArea>
      <c:layout/>
      <c:scatterChart>
        <c:scatterStyle val="lineMarker"/>
        <c:varyColors val="0"/>
        <c:ser>
          <c:idx val="6"/>
          <c:order val="0"/>
          <c:tx>
            <c:strRef>
              <c:f>'Capacitor Impedance'!$R$3</c:f>
              <c:strCache>
                <c:ptCount val="1"/>
                <c:pt idx="0">
                  <c:v>100µF</c:v>
                </c:pt>
              </c:strCache>
            </c:strRef>
          </c:tx>
          <c:spPr>
            <a:ln w="25400" cap="rnd">
              <a:solidFill>
                <a:schemeClr val="accent1">
                  <a:lumMod val="60000"/>
                </a:schemeClr>
              </a:solidFill>
              <a:round/>
            </a:ln>
            <a:effectLst/>
          </c:spPr>
          <c:marker>
            <c:symbol val="none"/>
          </c:marker>
          <c:xVal>
            <c:numRef>
              <c:f>'Capacitor Impedance'!$Q$6:$Q$87</c:f>
              <c:numCache>
                <c:formatCode>#,##0</c:formatCode>
                <c:ptCount val="82"/>
                <c:pt idx="0">
                  <c:v>1</c:v>
                </c:pt>
                <c:pt idx="1">
                  <c:v>2</c:v>
                </c:pt>
                <c:pt idx="2">
                  <c:v>3</c:v>
                </c:pt>
                <c:pt idx="3">
                  <c:v>4</c:v>
                </c:pt>
                <c:pt idx="4">
                  <c:v>5</c:v>
                </c:pt>
                <c:pt idx="5">
                  <c:v>6</c:v>
                </c:pt>
                <c:pt idx="6">
                  <c:v>7</c:v>
                </c:pt>
                <c:pt idx="7">
                  <c:v>8</c:v>
                </c:pt>
                <c:pt idx="8">
                  <c:v>9</c:v>
                </c:pt>
                <c:pt idx="9">
                  <c:v>10</c:v>
                </c:pt>
                <c:pt idx="10">
                  <c:v>20</c:v>
                </c:pt>
                <c:pt idx="11">
                  <c:v>30</c:v>
                </c:pt>
                <c:pt idx="12">
                  <c:v>40</c:v>
                </c:pt>
                <c:pt idx="13">
                  <c:v>50</c:v>
                </c:pt>
                <c:pt idx="14">
                  <c:v>60</c:v>
                </c:pt>
                <c:pt idx="15">
                  <c:v>70</c:v>
                </c:pt>
                <c:pt idx="16">
                  <c:v>80</c:v>
                </c:pt>
                <c:pt idx="17">
                  <c:v>90</c:v>
                </c:pt>
                <c:pt idx="18">
                  <c:v>100</c:v>
                </c:pt>
                <c:pt idx="19">
                  <c:v>200</c:v>
                </c:pt>
                <c:pt idx="20">
                  <c:v>300</c:v>
                </c:pt>
                <c:pt idx="21">
                  <c:v>400</c:v>
                </c:pt>
                <c:pt idx="22">
                  <c:v>500</c:v>
                </c:pt>
                <c:pt idx="23">
                  <c:v>600</c:v>
                </c:pt>
                <c:pt idx="24">
                  <c:v>700</c:v>
                </c:pt>
                <c:pt idx="25">
                  <c:v>800</c:v>
                </c:pt>
                <c:pt idx="26">
                  <c:v>900</c:v>
                </c:pt>
                <c:pt idx="27">
                  <c:v>1000</c:v>
                </c:pt>
                <c:pt idx="28">
                  <c:v>2000</c:v>
                </c:pt>
                <c:pt idx="29">
                  <c:v>3000</c:v>
                </c:pt>
                <c:pt idx="30">
                  <c:v>4000</c:v>
                </c:pt>
                <c:pt idx="31">
                  <c:v>5000</c:v>
                </c:pt>
                <c:pt idx="32">
                  <c:v>6000</c:v>
                </c:pt>
                <c:pt idx="33">
                  <c:v>7000</c:v>
                </c:pt>
                <c:pt idx="34">
                  <c:v>8000</c:v>
                </c:pt>
                <c:pt idx="35">
                  <c:v>9000</c:v>
                </c:pt>
                <c:pt idx="36">
                  <c:v>10000</c:v>
                </c:pt>
                <c:pt idx="37">
                  <c:v>20000</c:v>
                </c:pt>
                <c:pt idx="38">
                  <c:v>30000</c:v>
                </c:pt>
                <c:pt idx="39">
                  <c:v>40000</c:v>
                </c:pt>
                <c:pt idx="40">
                  <c:v>50000</c:v>
                </c:pt>
                <c:pt idx="41">
                  <c:v>60000</c:v>
                </c:pt>
                <c:pt idx="42">
                  <c:v>70000</c:v>
                </c:pt>
                <c:pt idx="43">
                  <c:v>80000</c:v>
                </c:pt>
                <c:pt idx="44">
                  <c:v>90000</c:v>
                </c:pt>
                <c:pt idx="45">
                  <c:v>100000</c:v>
                </c:pt>
                <c:pt idx="46">
                  <c:v>200000</c:v>
                </c:pt>
                <c:pt idx="47">
                  <c:v>300000</c:v>
                </c:pt>
                <c:pt idx="48">
                  <c:v>400000</c:v>
                </c:pt>
                <c:pt idx="49">
                  <c:v>500000</c:v>
                </c:pt>
                <c:pt idx="50">
                  <c:v>600000</c:v>
                </c:pt>
                <c:pt idx="51">
                  <c:v>700000</c:v>
                </c:pt>
                <c:pt idx="52">
                  <c:v>800000</c:v>
                </c:pt>
                <c:pt idx="53">
                  <c:v>900000</c:v>
                </c:pt>
                <c:pt idx="54">
                  <c:v>1000000</c:v>
                </c:pt>
                <c:pt idx="55">
                  <c:v>2000000</c:v>
                </c:pt>
                <c:pt idx="56">
                  <c:v>3000000</c:v>
                </c:pt>
                <c:pt idx="57">
                  <c:v>4000000</c:v>
                </c:pt>
                <c:pt idx="58">
                  <c:v>5000000</c:v>
                </c:pt>
                <c:pt idx="59">
                  <c:v>6000000</c:v>
                </c:pt>
                <c:pt idx="60">
                  <c:v>7000000</c:v>
                </c:pt>
                <c:pt idx="61">
                  <c:v>8000000</c:v>
                </c:pt>
                <c:pt idx="62">
                  <c:v>9000000</c:v>
                </c:pt>
                <c:pt idx="63">
                  <c:v>10000000</c:v>
                </c:pt>
                <c:pt idx="64">
                  <c:v>20000000</c:v>
                </c:pt>
                <c:pt idx="65">
                  <c:v>30000000</c:v>
                </c:pt>
                <c:pt idx="66">
                  <c:v>40000000</c:v>
                </c:pt>
                <c:pt idx="67">
                  <c:v>50000000</c:v>
                </c:pt>
                <c:pt idx="68">
                  <c:v>60000000</c:v>
                </c:pt>
                <c:pt idx="69">
                  <c:v>70000000</c:v>
                </c:pt>
                <c:pt idx="70">
                  <c:v>80000000</c:v>
                </c:pt>
                <c:pt idx="71">
                  <c:v>90000000</c:v>
                </c:pt>
                <c:pt idx="72">
                  <c:v>100000000</c:v>
                </c:pt>
                <c:pt idx="73">
                  <c:v>200000000</c:v>
                </c:pt>
                <c:pt idx="74">
                  <c:v>300000000</c:v>
                </c:pt>
                <c:pt idx="75">
                  <c:v>400000000</c:v>
                </c:pt>
                <c:pt idx="76">
                  <c:v>500000000</c:v>
                </c:pt>
                <c:pt idx="77">
                  <c:v>600000000</c:v>
                </c:pt>
                <c:pt idx="78">
                  <c:v>700000000</c:v>
                </c:pt>
                <c:pt idx="79">
                  <c:v>800000000</c:v>
                </c:pt>
                <c:pt idx="80">
                  <c:v>900000000</c:v>
                </c:pt>
                <c:pt idx="81">
                  <c:v>1000000000</c:v>
                </c:pt>
              </c:numCache>
            </c:numRef>
          </c:xVal>
          <c:yVal>
            <c:numRef>
              <c:f>'Capacitor Impedance'!$R$6:$R$87</c:f>
              <c:numCache>
                <c:formatCode>0.000000000000</c:formatCode>
                <c:ptCount val="82"/>
                <c:pt idx="0">
                  <c:v>1591549.4309189534</c:v>
                </c:pt>
                <c:pt idx="1">
                  <c:v>795774.71545947669</c:v>
                </c:pt>
                <c:pt idx="2">
                  <c:v>530516.4769729845</c:v>
                </c:pt>
                <c:pt idx="3">
                  <c:v>397887.35772973835</c:v>
                </c:pt>
                <c:pt idx="4">
                  <c:v>318309.88618379069</c:v>
                </c:pt>
                <c:pt idx="5">
                  <c:v>265258.23848649225</c:v>
                </c:pt>
                <c:pt idx="6">
                  <c:v>227364.20441699339</c:v>
                </c:pt>
                <c:pt idx="7">
                  <c:v>198943.67886486917</c:v>
                </c:pt>
                <c:pt idx="8">
                  <c:v>176838.82565766151</c:v>
                </c:pt>
                <c:pt idx="9">
                  <c:v>159154.94309189534</c:v>
                </c:pt>
                <c:pt idx="10">
                  <c:v>79577.471545947672</c:v>
                </c:pt>
                <c:pt idx="11">
                  <c:v>53051.647697298446</c:v>
                </c:pt>
                <c:pt idx="12">
                  <c:v>39788.735772973836</c:v>
                </c:pt>
                <c:pt idx="13">
                  <c:v>31830.988618379066</c:v>
                </c:pt>
                <c:pt idx="14">
                  <c:v>26525.823848649223</c:v>
                </c:pt>
                <c:pt idx="15">
                  <c:v>22736.420441699334</c:v>
                </c:pt>
                <c:pt idx="16">
                  <c:v>19894.367886486918</c:v>
                </c:pt>
                <c:pt idx="17">
                  <c:v>17683.882565766147</c:v>
                </c:pt>
                <c:pt idx="18">
                  <c:v>15915.494309189533</c:v>
                </c:pt>
                <c:pt idx="19">
                  <c:v>7957.7471545947665</c:v>
                </c:pt>
                <c:pt idx="20">
                  <c:v>5305.1647697298449</c:v>
                </c:pt>
                <c:pt idx="21">
                  <c:v>3978.8735772973832</c:v>
                </c:pt>
                <c:pt idx="22">
                  <c:v>3183.0988618379074</c:v>
                </c:pt>
                <c:pt idx="23">
                  <c:v>2652.5823848649225</c:v>
                </c:pt>
                <c:pt idx="24">
                  <c:v>2273.6420441699338</c:v>
                </c:pt>
                <c:pt idx="25">
                  <c:v>1989.4367886486916</c:v>
                </c:pt>
                <c:pt idx="26">
                  <c:v>1768.3882565766148</c:v>
                </c:pt>
                <c:pt idx="27">
                  <c:v>1591.5494309189537</c:v>
                </c:pt>
                <c:pt idx="28">
                  <c:v>795.77471545947685</c:v>
                </c:pt>
                <c:pt idx="29">
                  <c:v>530.51647697298449</c:v>
                </c:pt>
                <c:pt idx="30">
                  <c:v>397.88735772973843</c:v>
                </c:pt>
                <c:pt idx="31">
                  <c:v>318.30988618379075</c:v>
                </c:pt>
                <c:pt idx="32">
                  <c:v>265.25823848649225</c:v>
                </c:pt>
                <c:pt idx="33">
                  <c:v>227.3642044169934</c:v>
                </c:pt>
                <c:pt idx="34">
                  <c:v>198.94367886486921</c:v>
                </c:pt>
                <c:pt idx="35">
                  <c:v>176.83882565766149</c:v>
                </c:pt>
                <c:pt idx="36">
                  <c:v>159.15494309189538</c:v>
                </c:pt>
                <c:pt idx="37">
                  <c:v>79.577471545947688</c:v>
                </c:pt>
                <c:pt idx="38">
                  <c:v>53.051647697298449</c:v>
                </c:pt>
                <c:pt idx="39">
                  <c:v>39.788735772973844</c:v>
                </c:pt>
                <c:pt idx="40">
                  <c:v>31.83098861837907</c:v>
                </c:pt>
                <c:pt idx="41">
                  <c:v>26.525823848649225</c:v>
                </c:pt>
                <c:pt idx="42">
                  <c:v>22.736420441699334</c:v>
                </c:pt>
                <c:pt idx="43">
                  <c:v>19.894367886486922</c:v>
                </c:pt>
                <c:pt idx="44">
                  <c:v>17.683882565766147</c:v>
                </c:pt>
                <c:pt idx="45">
                  <c:v>15.915494309189535</c:v>
                </c:pt>
                <c:pt idx="46">
                  <c:v>7.9577471545947676</c:v>
                </c:pt>
                <c:pt idx="47">
                  <c:v>5.3051647697298447</c:v>
                </c:pt>
                <c:pt idx="48">
                  <c:v>3.9788735772973838</c:v>
                </c:pt>
                <c:pt idx="49">
                  <c:v>3.1830988618379075</c:v>
                </c:pt>
                <c:pt idx="50">
                  <c:v>2.6525823848649224</c:v>
                </c:pt>
                <c:pt idx="51">
                  <c:v>2.2736420441699337</c:v>
                </c:pt>
                <c:pt idx="52">
                  <c:v>1.9894367886486919</c:v>
                </c:pt>
                <c:pt idx="53">
                  <c:v>1.7683882565766149</c:v>
                </c:pt>
                <c:pt idx="54">
                  <c:v>1.5915494309189537</c:v>
                </c:pt>
                <c:pt idx="55">
                  <c:v>0.79577471545947687</c:v>
                </c:pt>
                <c:pt idx="56">
                  <c:v>0.53051647697298443</c:v>
                </c:pt>
                <c:pt idx="57">
                  <c:v>0.39788735772973843</c:v>
                </c:pt>
                <c:pt idx="58">
                  <c:v>0.31830988618379069</c:v>
                </c:pt>
                <c:pt idx="59">
                  <c:v>0.26525823848649221</c:v>
                </c:pt>
                <c:pt idx="60">
                  <c:v>0.22736420441699337</c:v>
                </c:pt>
                <c:pt idx="61">
                  <c:v>0.19894367886486922</c:v>
                </c:pt>
                <c:pt idx="62">
                  <c:v>0.17683882565766151</c:v>
                </c:pt>
                <c:pt idx="63">
                  <c:v>0.15915494309189535</c:v>
                </c:pt>
                <c:pt idx="64">
                  <c:v>7.9577471545947673E-2</c:v>
                </c:pt>
                <c:pt idx="65">
                  <c:v>5.3051647697298455E-2</c:v>
                </c:pt>
                <c:pt idx="66">
                  <c:v>3.9788735772973836E-2</c:v>
                </c:pt>
                <c:pt idx="67">
                  <c:v>3.1830988618379075E-2</c:v>
                </c:pt>
                <c:pt idx="68">
                  <c:v>2.6525823848649228E-2</c:v>
                </c:pt>
                <c:pt idx="69">
                  <c:v>2.2736420441699337E-2</c:v>
                </c:pt>
                <c:pt idx="70">
                  <c:v>1.9894367886486918E-2</c:v>
                </c:pt>
                <c:pt idx="71">
                  <c:v>1.7683882565766151E-2</c:v>
                </c:pt>
                <c:pt idx="72">
                  <c:v>1.5915494309189537E-2</c:v>
                </c:pt>
                <c:pt idx="73">
                  <c:v>7.9577471545947687E-3</c:v>
                </c:pt>
                <c:pt idx="74">
                  <c:v>5.3051647697298452E-3</c:v>
                </c:pt>
                <c:pt idx="75">
                  <c:v>3.9788735772973843E-3</c:v>
                </c:pt>
                <c:pt idx="76">
                  <c:v>3.1830988618379071E-3</c:v>
                </c:pt>
                <c:pt idx="77">
                  <c:v>2.6525823848649226E-3</c:v>
                </c:pt>
                <c:pt idx="78">
                  <c:v>2.273642044169934E-3</c:v>
                </c:pt>
                <c:pt idx="79">
                  <c:v>1.9894367886486922E-3</c:v>
                </c:pt>
                <c:pt idx="80">
                  <c:v>1.7683882565766149E-3</c:v>
                </c:pt>
                <c:pt idx="81">
                  <c:v>1.5915494309189536E-3</c:v>
                </c:pt>
              </c:numCache>
            </c:numRef>
          </c:yVal>
          <c:smooth val="0"/>
          <c:extLst>
            <c:ext xmlns:c16="http://schemas.microsoft.com/office/drawing/2014/chart" uri="{C3380CC4-5D6E-409C-BE32-E72D297353CC}">
              <c16:uniqueId val="{00000013-2C1F-4E51-A710-FAC99238261E}"/>
            </c:ext>
          </c:extLst>
        </c:ser>
        <c:ser>
          <c:idx val="7"/>
          <c:order val="1"/>
          <c:tx>
            <c:strRef>
              <c:f>'Capacitor Impedance'!$W$3</c:f>
              <c:strCache>
                <c:ptCount val="1"/>
                <c:pt idx="0">
                  <c:v>10µF</c:v>
                </c:pt>
              </c:strCache>
            </c:strRef>
          </c:tx>
          <c:spPr>
            <a:ln w="25400" cap="rnd">
              <a:solidFill>
                <a:schemeClr val="accent2">
                  <a:lumMod val="60000"/>
                </a:schemeClr>
              </a:solidFill>
              <a:round/>
            </a:ln>
            <a:effectLst/>
          </c:spPr>
          <c:marker>
            <c:symbol val="none"/>
          </c:marker>
          <c:xVal>
            <c:numRef>
              <c:f>'Capacitor Impedance'!$Q$6:$Q$87</c:f>
              <c:numCache>
                <c:formatCode>#,##0</c:formatCode>
                <c:ptCount val="82"/>
                <c:pt idx="0">
                  <c:v>1</c:v>
                </c:pt>
                <c:pt idx="1">
                  <c:v>2</c:v>
                </c:pt>
                <c:pt idx="2">
                  <c:v>3</c:v>
                </c:pt>
                <c:pt idx="3">
                  <c:v>4</c:v>
                </c:pt>
                <c:pt idx="4">
                  <c:v>5</c:v>
                </c:pt>
                <c:pt idx="5">
                  <c:v>6</c:v>
                </c:pt>
                <c:pt idx="6">
                  <c:v>7</c:v>
                </c:pt>
                <c:pt idx="7">
                  <c:v>8</c:v>
                </c:pt>
                <c:pt idx="8">
                  <c:v>9</c:v>
                </c:pt>
                <c:pt idx="9">
                  <c:v>10</c:v>
                </c:pt>
                <c:pt idx="10">
                  <c:v>20</c:v>
                </c:pt>
                <c:pt idx="11">
                  <c:v>30</c:v>
                </c:pt>
                <c:pt idx="12">
                  <c:v>40</c:v>
                </c:pt>
                <c:pt idx="13">
                  <c:v>50</c:v>
                </c:pt>
                <c:pt idx="14">
                  <c:v>60</c:v>
                </c:pt>
                <c:pt idx="15">
                  <c:v>70</c:v>
                </c:pt>
                <c:pt idx="16">
                  <c:v>80</c:v>
                </c:pt>
                <c:pt idx="17">
                  <c:v>90</c:v>
                </c:pt>
                <c:pt idx="18">
                  <c:v>100</c:v>
                </c:pt>
                <c:pt idx="19">
                  <c:v>200</c:v>
                </c:pt>
                <c:pt idx="20">
                  <c:v>300</c:v>
                </c:pt>
                <c:pt idx="21">
                  <c:v>400</c:v>
                </c:pt>
                <c:pt idx="22">
                  <c:v>500</c:v>
                </c:pt>
                <c:pt idx="23">
                  <c:v>600</c:v>
                </c:pt>
                <c:pt idx="24">
                  <c:v>700</c:v>
                </c:pt>
                <c:pt idx="25">
                  <c:v>800</c:v>
                </c:pt>
                <c:pt idx="26">
                  <c:v>900</c:v>
                </c:pt>
                <c:pt idx="27">
                  <c:v>1000</c:v>
                </c:pt>
                <c:pt idx="28">
                  <c:v>2000</c:v>
                </c:pt>
                <c:pt idx="29">
                  <c:v>3000</c:v>
                </c:pt>
                <c:pt idx="30">
                  <c:v>4000</c:v>
                </c:pt>
                <c:pt idx="31">
                  <c:v>5000</c:v>
                </c:pt>
                <c:pt idx="32">
                  <c:v>6000</c:v>
                </c:pt>
                <c:pt idx="33">
                  <c:v>7000</c:v>
                </c:pt>
                <c:pt idx="34">
                  <c:v>8000</c:v>
                </c:pt>
                <c:pt idx="35">
                  <c:v>9000</c:v>
                </c:pt>
                <c:pt idx="36">
                  <c:v>10000</c:v>
                </c:pt>
                <c:pt idx="37">
                  <c:v>20000</c:v>
                </c:pt>
                <c:pt idx="38">
                  <c:v>30000</c:v>
                </c:pt>
                <c:pt idx="39">
                  <c:v>40000</c:v>
                </c:pt>
                <c:pt idx="40">
                  <c:v>50000</c:v>
                </c:pt>
                <c:pt idx="41">
                  <c:v>60000</c:v>
                </c:pt>
                <c:pt idx="42">
                  <c:v>70000</c:v>
                </c:pt>
                <c:pt idx="43">
                  <c:v>80000</c:v>
                </c:pt>
                <c:pt idx="44">
                  <c:v>90000</c:v>
                </c:pt>
                <c:pt idx="45">
                  <c:v>100000</c:v>
                </c:pt>
                <c:pt idx="46">
                  <c:v>200000</c:v>
                </c:pt>
                <c:pt idx="47">
                  <c:v>300000</c:v>
                </c:pt>
                <c:pt idx="48">
                  <c:v>400000</c:v>
                </c:pt>
                <c:pt idx="49">
                  <c:v>500000</c:v>
                </c:pt>
                <c:pt idx="50">
                  <c:v>600000</c:v>
                </c:pt>
                <c:pt idx="51">
                  <c:v>700000</c:v>
                </c:pt>
                <c:pt idx="52">
                  <c:v>800000</c:v>
                </c:pt>
                <c:pt idx="53">
                  <c:v>900000</c:v>
                </c:pt>
                <c:pt idx="54">
                  <c:v>1000000</c:v>
                </c:pt>
                <c:pt idx="55">
                  <c:v>2000000</c:v>
                </c:pt>
                <c:pt idx="56">
                  <c:v>3000000</c:v>
                </c:pt>
                <c:pt idx="57">
                  <c:v>4000000</c:v>
                </c:pt>
                <c:pt idx="58">
                  <c:v>5000000</c:v>
                </c:pt>
                <c:pt idx="59">
                  <c:v>6000000</c:v>
                </c:pt>
                <c:pt idx="60">
                  <c:v>7000000</c:v>
                </c:pt>
                <c:pt idx="61">
                  <c:v>8000000</c:v>
                </c:pt>
                <c:pt idx="62">
                  <c:v>9000000</c:v>
                </c:pt>
                <c:pt idx="63">
                  <c:v>10000000</c:v>
                </c:pt>
                <c:pt idx="64">
                  <c:v>20000000</c:v>
                </c:pt>
                <c:pt idx="65">
                  <c:v>30000000</c:v>
                </c:pt>
                <c:pt idx="66">
                  <c:v>40000000</c:v>
                </c:pt>
                <c:pt idx="67">
                  <c:v>50000000</c:v>
                </c:pt>
                <c:pt idx="68">
                  <c:v>60000000</c:v>
                </c:pt>
                <c:pt idx="69">
                  <c:v>70000000</c:v>
                </c:pt>
                <c:pt idx="70">
                  <c:v>80000000</c:v>
                </c:pt>
                <c:pt idx="71">
                  <c:v>90000000</c:v>
                </c:pt>
                <c:pt idx="72">
                  <c:v>100000000</c:v>
                </c:pt>
                <c:pt idx="73">
                  <c:v>200000000</c:v>
                </c:pt>
                <c:pt idx="74">
                  <c:v>300000000</c:v>
                </c:pt>
                <c:pt idx="75">
                  <c:v>400000000</c:v>
                </c:pt>
                <c:pt idx="76">
                  <c:v>500000000</c:v>
                </c:pt>
                <c:pt idx="77">
                  <c:v>600000000</c:v>
                </c:pt>
                <c:pt idx="78">
                  <c:v>700000000</c:v>
                </c:pt>
                <c:pt idx="79">
                  <c:v>800000000</c:v>
                </c:pt>
                <c:pt idx="80">
                  <c:v>900000000</c:v>
                </c:pt>
                <c:pt idx="81">
                  <c:v>1000000000</c:v>
                </c:pt>
              </c:numCache>
            </c:numRef>
          </c:xVal>
          <c:yVal>
            <c:numRef>
              <c:f>'Capacitor Impedance'!$W$6:$W$87</c:f>
              <c:numCache>
                <c:formatCode>0.000000000000</c:formatCode>
                <c:ptCount val="82"/>
                <c:pt idx="0">
                  <c:v>15915494.309189536</c:v>
                </c:pt>
                <c:pt idx="1">
                  <c:v>7957747.1545947678</c:v>
                </c:pt>
                <c:pt idx="2">
                  <c:v>5305164.7697298452</c:v>
                </c:pt>
                <c:pt idx="3">
                  <c:v>3978873.5772973839</c:v>
                </c:pt>
                <c:pt idx="4">
                  <c:v>3183098.8618379068</c:v>
                </c:pt>
                <c:pt idx="5">
                  <c:v>2652582.3848649226</c:v>
                </c:pt>
                <c:pt idx="6">
                  <c:v>2273642.0441699335</c:v>
                </c:pt>
                <c:pt idx="7">
                  <c:v>1989436.788648692</c:v>
                </c:pt>
                <c:pt idx="8">
                  <c:v>1768388.2565766149</c:v>
                </c:pt>
                <c:pt idx="9">
                  <c:v>1591549.4309189534</c:v>
                </c:pt>
                <c:pt idx="10">
                  <c:v>795774.71545947669</c:v>
                </c:pt>
                <c:pt idx="11">
                  <c:v>530516.4769729845</c:v>
                </c:pt>
                <c:pt idx="12">
                  <c:v>397887.35772973835</c:v>
                </c:pt>
                <c:pt idx="13">
                  <c:v>318309.88618379069</c:v>
                </c:pt>
                <c:pt idx="14">
                  <c:v>265258.23848649225</c:v>
                </c:pt>
                <c:pt idx="15">
                  <c:v>227364.20441699339</c:v>
                </c:pt>
                <c:pt idx="16">
                  <c:v>198943.67886486917</c:v>
                </c:pt>
                <c:pt idx="17">
                  <c:v>176838.82565766151</c:v>
                </c:pt>
                <c:pt idx="18">
                  <c:v>159154.94309189534</c:v>
                </c:pt>
                <c:pt idx="19">
                  <c:v>79577.471545947672</c:v>
                </c:pt>
                <c:pt idx="20">
                  <c:v>53051.647697298446</c:v>
                </c:pt>
                <c:pt idx="21">
                  <c:v>39788.735772973836</c:v>
                </c:pt>
                <c:pt idx="22">
                  <c:v>31830.988618379073</c:v>
                </c:pt>
                <c:pt idx="23">
                  <c:v>26525.823848649223</c:v>
                </c:pt>
                <c:pt idx="24">
                  <c:v>22736.420441699334</c:v>
                </c:pt>
                <c:pt idx="25">
                  <c:v>19894.367886486918</c:v>
                </c:pt>
                <c:pt idx="26">
                  <c:v>17683.882565766151</c:v>
                </c:pt>
                <c:pt idx="27">
                  <c:v>15915.494309189537</c:v>
                </c:pt>
                <c:pt idx="28">
                  <c:v>7957.7471545947683</c:v>
                </c:pt>
                <c:pt idx="29">
                  <c:v>5305.1647697298449</c:v>
                </c:pt>
                <c:pt idx="30">
                  <c:v>3978.8735772973841</c:v>
                </c:pt>
                <c:pt idx="31">
                  <c:v>3183.098861837907</c:v>
                </c:pt>
                <c:pt idx="32">
                  <c:v>2652.5823848649225</c:v>
                </c:pt>
                <c:pt idx="33">
                  <c:v>2273.6420441699338</c:v>
                </c:pt>
                <c:pt idx="34">
                  <c:v>1989.4367886486921</c:v>
                </c:pt>
                <c:pt idx="35">
                  <c:v>1768.3882565766148</c:v>
                </c:pt>
                <c:pt idx="36">
                  <c:v>1591.5494309189535</c:v>
                </c:pt>
                <c:pt idx="37">
                  <c:v>795.77471545947674</c:v>
                </c:pt>
                <c:pt idx="38">
                  <c:v>530.51647697298449</c:v>
                </c:pt>
                <c:pt idx="39">
                  <c:v>397.88735772973837</c:v>
                </c:pt>
                <c:pt idx="40">
                  <c:v>318.30988618379075</c:v>
                </c:pt>
                <c:pt idx="41">
                  <c:v>265.25823848649225</c:v>
                </c:pt>
                <c:pt idx="42">
                  <c:v>227.3642044169934</c:v>
                </c:pt>
                <c:pt idx="43">
                  <c:v>198.94367886486918</c:v>
                </c:pt>
                <c:pt idx="44">
                  <c:v>176.83882565766149</c:v>
                </c:pt>
                <c:pt idx="45">
                  <c:v>159.15494309189538</c:v>
                </c:pt>
                <c:pt idx="46">
                  <c:v>79.577471545947688</c:v>
                </c:pt>
                <c:pt idx="47">
                  <c:v>53.051647697298449</c:v>
                </c:pt>
                <c:pt idx="48">
                  <c:v>39.788735772973844</c:v>
                </c:pt>
                <c:pt idx="49">
                  <c:v>31.83098861837907</c:v>
                </c:pt>
                <c:pt idx="50">
                  <c:v>26.525823848649225</c:v>
                </c:pt>
                <c:pt idx="51">
                  <c:v>22.736420441699337</c:v>
                </c:pt>
                <c:pt idx="52">
                  <c:v>19.894367886486922</c:v>
                </c:pt>
                <c:pt idx="53">
                  <c:v>17.683882565766151</c:v>
                </c:pt>
                <c:pt idx="54">
                  <c:v>15.915494309189535</c:v>
                </c:pt>
                <c:pt idx="55">
                  <c:v>7.9577471545947676</c:v>
                </c:pt>
                <c:pt idx="56">
                  <c:v>5.3051647697298447</c:v>
                </c:pt>
                <c:pt idx="57">
                  <c:v>3.9788735772973838</c:v>
                </c:pt>
                <c:pt idx="58">
                  <c:v>3.1830988618379066</c:v>
                </c:pt>
                <c:pt idx="59">
                  <c:v>2.6525823848649224</c:v>
                </c:pt>
                <c:pt idx="60">
                  <c:v>2.2736420441699337</c:v>
                </c:pt>
                <c:pt idx="61">
                  <c:v>1.9894367886486919</c:v>
                </c:pt>
                <c:pt idx="62">
                  <c:v>1.7683882565766149</c:v>
                </c:pt>
                <c:pt idx="63">
                  <c:v>1.5915494309189533</c:v>
                </c:pt>
                <c:pt idx="64">
                  <c:v>0.79577471545947664</c:v>
                </c:pt>
                <c:pt idx="65">
                  <c:v>0.53051647697298443</c:v>
                </c:pt>
                <c:pt idx="66">
                  <c:v>0.39788735772973832</c:v>
                </c:pt>
                <c:pt idx="67">
                  <c:v>0.31830988618379075</c:v>
                </c:pt>
                <c:pt idx="68">
                  <c:v>0.26525823848649221</c:v>
                </c:pt>
                <c:pt idx="69">
                  <c:v>0.22736420441699337</c:v>
                </c:pt>
                <c:pt idx="70">
                  <c:v>0.19894367886486916</c:v>
                </c:pt>
                <c:pt idx="71">
                  <c:v>0.17683882565766149</c:v>
                </c:pt>
                <c:pt idx="72">
                  <c:v>0.15915494309189537</c:v>
                </c:pt>
                <c:pt idx="73">
                  <c:v>7.9577471545947687E-2</c:v>
                </c:pt>
                <c:pt idx="74">
                  <c:v>5.3051647697298455E-2</c:v>
                </c:pt>
                <c:pt idx="75">
                  <c:v>3.9788735772973843E-2</c:v>
                </c:pt>
                <c:pt idx="76">
                  <c:v>3.1830988618379068E-2</c:v>
                </c:pt>
                <c:pt idx="77">
                  <c:v>2.6525823848649228E-2</c:v>
                </c:pt>
                <c:pt idx="78">
                  <c:v>2.2736420441699337E-2</c:v>
                </c:pt>
                <c:pt idx="79">
                  <c:v>1.9894367886486922E-2</c:v>
                </c:pt>
                <c:pt idx="80">
                  <c:v>1.7683882565766147E-2</c:v>
                </c:pt>
                <c:pt idx="81">
                  <c:v>1.5915494309189534E-2</c:v>
                </c:pt>
              </c:numCache>
            </c:numRef>
          </c:yVal>
          <c:smooth val="0"/>
          <c:extLst>
            <c:ext xmlns:c16="http://schemas.microsoft.com/office/drawing/2014/chart" uri="{C3380CC4-5D6E-409C-BE32-E72D297353CC}">
              <c16:uniqueId val="{00000014-2C1F-4E51-A710-FAC99238261E}"/>
            </c:ext>
          </c:extLst>
        </c:ser>
        <c:ser>
          <c:idx val="8"/>
          <c:order val="2"/>
          <c:tx>
            <c:strRef>
              <c:f>'Capacitor Impedance'!$AB$3</c:f>
              <c:strCache>
                <c:ptCount val="1"/>
                <c:pt idx="0">
                  <c:v>1µF</c:v>
                </c:pt>
              </c:strCache>
            </c:strRef>
          </c:tx>
          <c:spPr>
            <a:ln w="25400" cap="rnd">
              <a:solidFill>
                <a:schemeClr val="accent3">
                  <a:lumMod val="60000"/>
                </a:schemeClr>
              </a:solidFill>
              <a:round/>
            </a:ln>
            <a:effectLst/>
          </c:spPr>
          <c:marker>
            <c:symbol val="none"/>
          </c:marker>
          <c:xVal>
            <c:numRef>
              <c:f>'Capacitor Impedance'!$Q$6:$Q$87</c:f>
              <c:numCache>
                <c:formatCode>#,##0</c:formatCode>
                <c:ptCount val="82"/>
                <c:pt idx="0">
                  <c:v>1</c:v>
                </c:pt>
                <c:pt idx="1">
                  <c:v>2</c:v>
                </c:pt>
                <c:pt idx="2">
                  <c:v>3</c:v>
                </c:pt>
                <c:pt idx="3">
                  <c:v>4</c:v>
                </c:pt>
                <c:pt idx="4">
                  <c:v>5</c:v>
                </c:pt>
                <c:pt idx="5">
                  <c:v>6</c:v>
                </c:pt>
                <c:pt idx="6">
                  <c:v>7</c:v>
                </c:pt>
                <c:pt idx="7">
                  <c:v>8</c:v>
                </c:pt>
                <c:pt idx="8">
                  <c:v>9</c:v>
                </c:pt>
                <c:pt idx="9">
                  <c:v>10</c:v>
                </c:pt>
                <c:pt idx="10">
                  <c:v>20</c:v>
                </c:pt>
                <c:pt idx="11">
                  <c:v>30</c:v>
                </c:pt>
                <c:pt idx="12">
                  <c:v>40</c:v>
                </c:pt>
                <c:pt idx="13">
                  <c:v>50</c:v>
                </c:pt>
                <c:pt idx="14">
                  <c:v>60</c:v>
                </c:pt>
                <c:pt idx="15">
                  <c:v>70</c:v>
                </c:pt>
                <c:pt idx="16">
                  <c:v>80</c:v>
                </c:pt>
                <c:pt idx="17">
                  <c:v>90</c:v>
                </c:pt>
                <c:pt idx="18">
                  <c:v>100</c:v>
                </c:pt>
                <c:pt idx="19">
                  <c:v>200</c:v>
                </c:pt>
                <c:pt idx="20">
                  <c:v>300</c:v>
                </c:pt>
                <c:pt idx="21">
                  <c:v>400</c:v>
                </c:pt>
                <c:pt idx="22">
                  <c:v>500</c:v>
                </c:pt>
                <c:pt idx="23">
                  <c:v>600</c:v>
                </c:pt>
                <c:pt idx="24">
                  <c:v>700</c:v>
                </c:pt>
                <c:pt idx="25">
                  <c:v>800</c:v>
                </c:pt>
                <c:pt idx="26">
                  <c:v>900</c:v>
                </c:pt>
                <c:pt idx="27">
                  <c:v>1000</c:v>
                </c:pt>
                <c:pt idx="28">
                  <c:v>2000</c:v>
                </c:pt>
                <c:pt idx="29">
                  <c:v>3000</c:v>
                </c:pt>
                <c:pt idx="30">
                  <c:v>4000</c:v>
                </c:pt>
                <c:pt idx="31">
                  <c:v>5000</c:v>
                </c:pt>
                <c:pt idx="32">
                  <c:v>6000</c:v>
                </c:pt>
                <c:pt idx="33">
                  <c:v>7000</c:v>
                </c:pt>
                <c:pt idx="34">
                  <c:v>8000</c:v>
                </c:pt>
                <c:pt idx="35">
                  <c:v>9000</c:v>
                </c:pt>
                <c:pt idx="36">
                  <c:v>10000</c:v>
                </c:pt>
                <c:pt idx="37">
                  <c:v>20000</c:v>
                </c:pt>
                <c:pt idx="38">
                  <c:v>30000</c:v>
                </c:pt>
                <c:pt idx="39">
                  <c:v>40000</c:v>
                </c:pt>
                <c:pt idx="40">
                  <c:v>50000</c:v>
                </c:pt>
                <c:pt idx="41">
                  <c:v>60000</c:v>
                </c:pt>
                <c:pt idx="42">
                  <c:v>70000</c:v>
                </c:pt>
                <c:pt idx="43">
                  <c:v>80000</c:v>
                </c:pt>
                <c:pt idx="44">
                  <c:v>90000</c:v>
                </c:pt>
                <c:pt idx="45">
                  <c:v>100000</c:v>
                </c:pt>
                <c:pt idx="46">
                  <c:v>200000</c:v>
                </c:pt>
                <c:pt idx="47">
                  <c:v>300000</c:v>
                </c:pt>
                <c:pt idx="48">
                  <c:v>400000</c:v>
                </c:pt>
                <c:pt idx="49">
                  <c:v>500000</c:v>
                </c:pt>
                <c:pt idx="50">
                  <c:v>600000</c:v>
                </c:pt>
                <c:pt idx="51">
                  <c:v>700000</c:v>
                </c:pt>
                <c:pt idx="52">
                  <c:v>800000</c:v>
                </c:pt>
                <c:pt idx="53">
                  <c:v>900000</c:v>
                </c:pt>
                <c:pt idx="54">
                  <c:v>1000000</c:v>
                </c:pt>
                <c:pt idx="55">
                  <c:v>2000000</c:v>
                </c:pt>
                <c:pt idx="56">
                  <c:v>3000000</c:v>
                </c:pt>
                <c:pt idx="57">
                  <c:v>4000000</c:v>
                </c:pt>
                <c:pt idx="58">
                  <c:v>5000000</c:v>
                </c:pt>
                <c:pt idx="59">
                  <c:v>6000000</c:v>
                </c:pt>
                <c:pt idx="60">
                  <c:v>7000000</c:v>
                </c:pt>
                <c:pt idx="61">
                  <c:v>8000000</c:v>
                </c:pt>
                <c:pt idx="62">
                  <c:v>9000000</c:v>
                </c:pt>
                <c:pt idx="63">
                  <c:v>10000000</c:v>
                </c:pt>
                <c:pt idx="64">
                  <c:v>20000000</c:v>
                </c:pt>
                <c:pt idx="65">
                  <c:v>30000000</c:v>
                </c:pt>
                <c:pt idx="66">
                  <c:v>40000000</c:v>
                </c:pt>
                <c:pt idx="67">
                  <c:v>50000000</c:v>
                </c:pt>
                <c:pt idx="68">
                  <c:v>60000000</c:v>
                </c:pt>
                <c:pt idx="69">
                  <c:v>70000000</c:v>
                </c:pt>
                <c:pt idx="70">
                  <c:v>80000000</c:v>
                </c:pt>
                <c:pt idx="71">
                  <c:v>90000000</c:v>
                </c:pt>
                <c:pt idx="72">
                  <c:v>100000000</c:v>
                </c:pt>
                <c:pt idx="73">
                  <c:v>200000000</c:v>
                </c:pt>
                <c:pt idx="74">
                  <c:v>300000000</c:v>
                </c:pt>
                <c:pt idx="75">
                  <c:v>400000000</c:v>
                </c:pt>
                <c:pt idx="76">
                  <c:v>500000000</c:v>
                </c:pt>
                <c:pt idx="77">
                  <c:v>600000000</c:v>
                </c:pt>
                <c:pt idx="78">
                  <c:v>700000000</c:v>
                </c:pt>
                <c:pt idx="79">
                  <c:v>800000000</c:v>
                </c:pt>
                <c:pt idx="80">
                  <c:v>900000000</c:v>
                </c:pt>
                <c:pt idx="81">
                  <c:v>1000000000</c:v>
                </c:pt>
              </c:numCache>
            </c:numRef>
          </c:xVal>
          <c:yVal>
            <c:numRef>
              <c:f>'Capacitor Impedance'!$AB$6:$AB$87</c:f>
              <c:numCache>
                <c:formatCode>0.000000000000</c:formatCode>
                <c:ptCount val="82"/>
                <c:pt idx="0">
                  <c:v>159154943.09189534</c:v>
                </c:pt>
                <c:pt idx="1">
                  <c:v>79577471.545947671</c:v>
                </c:pt>
                <c:pt idx="2">
                  <c:v>53051647.697298445</c:v>
                </c:pt>
                <c:pt idx="3">
                  <c:v>39788735.772973835</c:v>
                </c:pt>
                <c:pt idx="4">
                  <c:v>31830988.618379071</c:v>
                </c:pt>
                <c:pt idx="5">
                  <c:v>26525823.848649222</c:v>
                </c:pt>
                <c:pt idx="6">
                  <c:v>22736420.441699333</c:v>
                </c:pt>
                <c:pt idx="7">
                  <c:v>19894367.886486918</c:v>
                </c:pt>
                <c:pt idx="8">
                  <c:v>17683882.565766148</c:v>
                </c:pt>
                <c:pt idx="9">
                  <c:v>15915494.309189536</c:v>
                </c:pt>
                <c:pt idx="10">
                  <c:v>7957747.1545947678</c:v>
                </c:pt>
                <c:pt idx="11">
                  <c:v>5305164.7697298452</c:v>
                </c:pt>
                <c:pt idx="12">
                  <c:v>3978873.5772973839</c:v>
                </c:pt>
                <c:pt idx="13">
                  <c:v>3183098.8618379068</c:v>
                </c:pt>
                <c:pt idx="14">
                  <c:v>2652582.3848649226</c:v>
                </c:pt>
                <c:pt idx="15">
                  <c:v>2273642.0441699335</c:v>
                </c:pt>
                <c:pt idx="16">
                  <c:v>1989436.788648692</c:v>
                </c:pt>
                <c:pt idx="17">
                  <c:v>1768388.2565766149</c:v>
                </c:pt>
                <c:pt idx="18">
                  <c:v>1591549.4309189534</c:v>
                </c:pt>
                <c:pt idx="19">
                  <c:v>795774.71545947669</c:v>
                </c:pt>
                <c:pt idx="20">
                  <c:v>530516.4769729845</c:v>
                </c:pt>
                <c:pt idx="21">
                  <c:v>397887.35772973835</c:v>
                </c:pt>
                <c:pt idx="22">
                  <c:v>318309.88618379069</c:v>
                </c:pt>
                <c:pt idx="23">
                  <c:v>265258.23848649225</c:v>
                </c:pt>
                <c:pt idx="24">
                  <c:v>227364.20441699339</c:v>
                </c:pt>
                <c:pt idx="25">
                  <c:v>198943.67886486917</c:v>
                </c:pt>
                <c:pt idx="26">
                  <c:v>176838.82565766151</c:v>
                </c:pt>
                <c:pt idx="27">
                  <c:v>159154.94309189534</c:v>
                </c:pt>
                <c:pt idx="28">
                  <c:v>79577.471545947672</c:v>
                </c:pt>
                <c:pt idx="29">
                  <c:v>53051.647697298446</c:v>
                </c:pt>
                <c:pt idx="30">
                  <c:v>39788.735772973836</c:v>
                </c:pt>
                <c:pt idx="31">
                  <c:v>31830.988618379066</c:v>
                </c:pt>
                <c:pt idx="32">
                  <c:v>26525.823848649223</c:v>
                </c:pt>
                <c:pt idx="33">
                  <c:v>22736.420441699334</c:v>
                </c:pt>
                <c:pt idx="34">
                  <c:v>19894.367886486918</c:v>
                </c:pt>
                <c:pt idx="35">
                  <c:v>17683.882565766147</c:v>
                </c:pt>
                <c:pt idx="36">
                  <c:v>15915.494309189533</c:v>
                </c:pt>
                <c:pt idx="37">
                  <c:v>7957.7471545947665</c:v>
                </c:pt>
                <c:pt idx="38">
                  <c:v>5305.1647697298449</c:v>
                </c:pt>
                <c:pt idx="39">
                  <c:v>3978.8735772973832</c:v>
                </c:pt>
                <c:pt idx="40">
                  <c:v>3183.0988618379074</c:v>
                </c:pt>
                <c:pt idx="41">
                  <c:v>2652.5823848649225</c:v>
                </c:pt>
                <c:pt idx="42">
                  <c:v>2273.6420441699338</c:v>
                </c:pt>
                <c:pt idx="43">
                  <c:v>1989.4367886486916</c:v>
                </c:pt>
                <c:pt idx="44">
                  <c:v>1768.3882565766148</c:v>
                </c:pt>
                <c:pt idx="45">
                  <c:v>1591.5494309189537</c:v>
                </c:pt>
                <c:pt idx="46">
                  <c:v>795.77471545947685</c:v>
                </c:pt>
                <c:pt idx="47">
                  <c:v>530.51647697298449</c:v>
                </c:pt>
                <c:pt idx="48">
                  <c:v>397.88735772973843</c:v>
                </c:pt>
                <c:pt idx="49">
                  <c:v>318.30988618379075</c:v>
                </c:pt>
                <c:pt idx="50">
                  <c:v>265.25823848649225</c:v>
                </c:pt>
                <c:pt idx="51">
                  <c:v>227.3642044169934</c:v>
                </c:pt>
                <c:pt idx="52">
                  <c:v>198.94367886486921</c:v>
                </c:pt>
                <c:pt idx="53">
                  <c:v>176.83882565766152</c:v>
                </c:pt>
                <c:pt idx="54">
                  <c:v>159.15494309189538</c:v>
                </c:pt>
                <c:pt idx="55">
                  <c:v>79.577471545947688</c:v>
                </c:pt>
                <c:pt idx="56">
                  <c:v>53.051647697298449</c:v>
                </c:pt>
                <c:pt idx="57">
                  <c:v>39.788735772973844</c:v>
                </c:pt>
                <c:pt idx="58">
                  <c:v>31.830988618379067</c:v>
                </c:pt>
                <c:pt idx="59">
                  <c:v>26.525823848649225</c:v>
                </c:pt>
                <c:pt idx="60">
                  <c:v>22.736420441699334</c:v>
                </c:pt>
                <c:pt idx="61">
                  <c:v>19.894367886486922</c:v>
                </c:pt>
                <c:pt idx="62">
                  <c:v>17.683882565766151</c:v>
                </c:pt>
                <c:pt idx="63">
                  <c:v>15.915494309189533</c:v>
                </c:pt>
                <c:pt idx="64">
                  <c:v>7.9577471545947667</c:v>
                </c:pt>
                <c:pt idx="65">
                  <c:v>5.3051647697298447</c:v>
                </c:pt>
                <c:pt idx="66">
                  <c:v>3.9788735772973833</c:v>
                </c:pt>
                <c:pt idx="67">
                  <c:v>3.1830988618379075</c:v>
                </c:pt>
                <c:pt idx="68">
                  <c:v>2.6525823848649224</c:v>
                </c:pt>
                <c:pt idx="69">
                  <c:v>2.2736420441699337</c:v>
                </c:pt>
                <c:pt idx="70">
                  <c:v>1.9894367886486917</c:v>
                </c:pt>
                <c:pt idx="71">
                  <c:v>1.7683882565766149</c:v>
                </c:pt>
                <c:pt idx="72">
                  <c:v>1.5915494309189537</c:v>
                </c:pt>
                <c:pt idx="73">
                  <c:v>0.79577471545947687</c:v>
                </c:pt>
                <c:pt idx="74">
                  <c:v>0.53051647697298443</c:v>
                </c:pt>
                <c:pt idx="75">
                  <c:v>0.39788735772973843</c:v>
                </c:pt>
                <c:pt idx="76">
                  <c:v>0.31830988618379069</c:v>
                </c:pt>
                <c:pt idx="77">
                  <c:v>0.26525823848649221</c:v>
                </c:pt>
                <c:pt idx="78">
                  <c:v>0.22736420441699337</c:v>
                </c:pt>
                <c:pt idx="79">
                  <c:v>0.19894367886486922</c:v>
                </c:pt>
                <c:pt idx="80">
                  <c:v>0.17683882565766149</c:v>
                </c:pt>
                <c:pt idx="81">
                  <c:v>0.15915494309189535</c:v>
                </c:pt>
              </c:numCache>
            </c:numRef>
          </c:yVal>
          <c:smooth val="0"/>
          <c:extLst>
            <c:ext xmlns:c16="http://schemas.microsoft.com/office/drawing/2014/chart" uri="{C3380CC4-5D6E-409C-BE32-E72D297353CC}">
              <c16:uniqueId val="{00000015-2C1F-4E51-A710-FAC99238261E}"/>
            </c:ext>
          </c:extLst>
        </c:ser>
        <c:ser>
          <c:idx val="9"/>
          <c:order val="3"/>
          <c:tx>
            <c:strRef>
              <c:f>'Capacitor Impedance'!$AG$3</c:f>
              <c:strCache>
                <c:ptCount val="1"/>
                <c:pt idx="0">
                  <c:v>0.1µF</c:v>
                </c:pt>
              </c:strCache>
            </c:strRef>
          </c:tx>
          <c:spPr>
            <a:ln w="25400" cap="rnd">
              <a:solidFill>
                <a:schemeClr val="accent4">
                  <a:lumMod val="60000"/>
                </a:schemeClr>
              </a:solidFill>
              <a:round/>
            </a:ln>
            <a:effectLst/>
          </c:spPr>
          <c:marker>
            <c:symbol val="none"/>
          </c:marker>
          <c:xVal>
            <c:numRef>
              <c:f>'Capacitor Impedance'!$Q$6:$Q$87</c:f>
              <c:numCache>
                <c:formatCode>#,##0</c:formatCode>
                <c:ptCount val="82"/>
                <c:pt idx="0">
                  <c:v>1</c:v>
                </c:pt>
                <c:pt idx="1">
                  <c:v>2</c:v>
                </c:pt>
                <c:pt idx="2">
                  <c:v>3</c:v>
                </c:pt>
                <c:pt idx="3">
                  <c:v>4</c:v>
                </c:pt>
                <c:pt idx="4">
                  <c:v>5</c:v>
                </c:pt>
                <c:pt idx="5">
                  <c:v>6</c:v>
                </c:pt>
                <c:pt idx="6">
                  <c:v>7</c:v>
                </c:pt>
                <c:pt idx="7">
                  <c:v>8</c:v>
                </c:pt>
                <c:pt idx="8">
                  <c:v>9</c:v>
                </c:pt>
                <c:pt idx="9">
                  <c:v>10</c:v>
                </c:pt>
                <c:pt idx="10">
                  <c:v>20</c:v>
                </c:pt>
                <c:pt idx="11">
                  <c:v>30</c:v>
                </c:pt>
                <c:pt idx="12">
                  <c:v>40</c:v>
                </c:pt>
                <c:pt idx="13">
                  <c:v>50</c:v>
                </c:pt>
                <c:pt idx="14">
                  <c:v>60</c:v>
                </c:pt>
                <c:pt idx="15">
                  <c:v>70</c:v>
                </c:pt>
                <c:pt idx="16">
                  <c:v>80</c:v>
                </c:pt>
                <c:pt idx="17">
                  <c:v>90</c:v>
                </c:pt>
                <c:pt idx="18">
                  <c:v>100</c:v>
                </c:pt>
                <c:pt idx="19">
                  <c:v>200</c:v>
                </c:pt>
                <c:pt idx="20">
                  <c:v>300</c:v>
                </c:pt>
                <c:pt idx="21">
                  <c:v>400</c:v>
                </c:pt>
                <c:pt idx="22">
                  <c:v>500</c:v>
                </c:pt>
                <c:pt idx="23">
                  <c:v>600</c:v>
                </c:pt>
                <c:pt idx="24">
                  <c:v>700</c:v>
                </c:pt>
                <c:pt idx="25">
                  <c:v>800</c:v>
                </c:pt>
                <c:pt idx="26">
                  <c:v>900</c:v>
                </c:pt>
                <c:pt idx="27">
                  <c:v>1000</c:v>
                </c:pt>
                <c:pt idx="28">
                  <c:v>2000</c:v>
                </c:pt>
                <c:pt idx="29">
                  <c:v>3000</c:v>
                </c:pt>
                <c:pt idx="30">
                  <c:v>4000</c:v>
                </c:pt>
                <c:pt idx="31">
                  <c:v>5000</c:v>
                </c:pt>
                <c:pt idx="32">
                  <c:v>6000</c:v>
                </c:pt>
                <c:pt idx="33">
                  <c:v>7000</c:v>
                </c:pt>
                <c:pt idx="34">
                  <c:v>8000</c:v>
                </c:pt>
                <c:pt idx="35">
                  <c:v>9000</c:v>
                </c:pt>
                <c:pt idx="36">
                  <c:v>10000</c:v>
                </c:pt>
                <c:pt idx="37">
                  <c:v>20000</c:v>
                </c:pt>
                <c:pt idx="38">
                  <c:v>30000</c:v>
                </c:pt>
                <c:pt idx="39">
                  <c:v>40000</c:v>
                </c:pt>
                <c:pt idx="40">
                  <c:v>50000</c:v>
                </c:pt>
                <c:pt idx="41">
                  <c:v>60000</c:v>
                </c:pt>
                <c:pt idx="42">
                  <c:v>70000</c:v>
                </c:pt>
                <c:pt idx="43">
                  <c:v>80000</c:v>
                </c:pt>
                <c:pt idx="44">
                  <c:v>90000</c:v>
                </c:pt>
                <c:pt idx="45">
                  <c:v>100000</c:v>
                </c:pt>
                <c:pt idx="46">
                  <c:v>200000</c:v>
                </c:pt>
                <c:pt idx="47">
                  <c:v>300000</c:v>
                </c:pt>
                <c:pt idx="48">
                  <c:v>400000</c:v>
                </c:pt>
                <c:pt idx="49">
                  <c:v>500000</c:v>
                </c:pt>
                <c:pt idx="50">
                  <c:v>600000</c:v>
                </c:pt>
                <c:pt idx="51">
                  <c:v>700000</c:v>
                </c:pt>
                <c:pt idx="52">
                  <c:v>800000</c:v>
                </c:pt>
                <c:pt idx="53">
                  <c:v>900000</c:v>
                </c:pt>
                <c:pt idx="54">
                  <c:v>1000000</c:v>
                </c:pt>
                <c:pt idx="55">
                  <c:v>2000000</c:v>
                </c:pt>
                <c:pt idx="56">
                  <c:v>3000000</c:v>
                </c:pt>
                <c:pt idx="57">
                  <c:v>4000000</c:v>
                </c:pt>
                <c:pt idx="58">
                  <c:v>5000000</c:v>
                </c:pt>
                <c:pt idx="59">
                  <c:v>6000000</c:v>
                </c:pt>
                <c:pt idx="60">
                  <c:v>7000000</c:v>
                </c:pt>
                <c:pt idx="61">
                  <c:v>8000000</c:v>
                </c:pt>
                <c:pt idx="62">
                  <c:v>9000000</c:v>
                </c:pt>
                <c:pt idx="63">
                  <c:v>10000000</c:v>
                </c:pt>
                <c:pt idx="64">
                  <c:v>20000000</c:v>
                </c:pt>
                <c:pt idx="65">
                  <c:v>30000000</c:v>
                </c:pt>
                <c:pt idx="66">
                  <c:v>40000000</c:v>
                </c:pt>
                <c:pt idx="67">
                  <c:v>50000000</c:v>
                </c:pt>
                <c:pt idx="68">
                  <c:v>60000000</c:v>
                </c:pt>
                <c:pt idx="69">
                  <c:v>70000000</c:v>
                </c:pt>
                <c:pt idx="70">
                  <c:v>80000000</c:v>
                </c:pt>
                <c:pt idx="71">
                  <c:v>90000000</c:v>
                </c:pt>
                <c:pt idx="72">
                  <c:v>100000000</c:v>
                </c:pt>
                <c:pt idx="73">
                  <c:v>200000000</c:v>
                </c:pt>
                <c:pt idx="74">
                  <c:v>300000000</c:v>
                </c:pt>
                <c:pt idx="75">
                  <c:v>400000000</c:v>
                </c:pt>
                <c:pt idx="76">
                  <c:v>500000000</c:v>
                </c:pt>
                <c:pt idx="77">
                  <c:v>600000000</c:v>
                </c:pt>
                <c:pt idx="78">
                  <c:v>700000000</c:v>
                </c:pt>
                <c:pt idx="79">
                  <c:v>800000000</c:v>
                </c:pt>
                <c:pt idx="80">
                  <c:v>900000000</c:v>
                </c:pt>
                <c:pt idx="81">
                  <c:v>1000000000</c:v>
                </c:pt>
              </c:numCache>
            </c:numRef>
          </c:xVal>
          <c:yVal>
            <c:numRef>
              <c:f>'Capacitor Impedance'!$AG$6:$AG$87</c:f>
              <c:numCache>
                <c:formatCode>0.000000000000</c:formatCode>
                <c:ptCount val="82"/>
                <c:pt idx="0">
                  <c:v>1591549430.9189534</c:v>
                </c:pt>
                <c:pt idx="1">
                  <c:v>795774715.45947671</c:v>
                </c:pt>
                <c:pt idx="2">
                  <c:v>530516476.97298449</c:v>
                </c:pt>
                <c:pt idx="3">
                  <c:v>397887357.72973835</c:v>
                </c:pt>
                <c:pt idx="4">
                  <c:v>318309886.18379068</c:v>
                </c:pt>
                <c:pt idx="5">
                  <c:v>265258238.48649225</c:v>
                </c:pt>
                <c:pt idx="6">
                  <c:v>227364204.41699338</c:v>
                </c:pt>
                <c:pt idx="7">
                  <c:v>198943678.86486918</c:v>
                </c:pt>
                <c:pt idx="8">
                  <c:v>176838825.6576615</c:v>
                </c:pt>
                <c:pt idx="9">
                  <c:v>159154943.09189534</c:v>
                </c:pt>
                <c:pt idx="10">
                  <c:v>79577471.545947671</c:v>
                </c:pt>
                <c:pt idx="11">
                  <c:v>53051647.697298445</c:v>
                </c:pt>
                <c:pt idx="12">
                  <c:v>39788735.772973835</c:v>
                </c:pt>
                <c:pt idx="13">
                  <c:v>31830988.618379064</c:v>
                </c:pt>
                <c:pt idx="14">
                  <c:v>26525823.848649222</c:v>
                </c:pt>
                <c:pt idx="15">
                  <c:v>22736420.441699333</c:v>
                </c:pt>
                <c:pt idx="16">
                  <c:v>19894367.886486918</c:v>
                </c:pt>
                <c:pt idx="17">
                  <c:v>17683882.565766148</c:v>
                </c:pt>
                <c:pt idx="18">
                  <c:v>15915494.309189532</c:v>
                </c:pt>
                <c:pt idx="19">
                  <c:v>7957747.154594766</c:v>
                </c:pt>
                <c:pt idx="20">
                  <c:v>5305164.7697298443</c:v>
                </c:pt>
                <c:pt idx="21">
                  <c:v>3978873.577297383</c:v>
                </c:pt>
                <c:pt idx="22">
                  <c:v>3183098.8618379068</c:v>
                </c:pt>
                <c:pt idx="23">
                  <c:v>2652582.3848649221</c:v>
                </c:pt>
                <c:pt idx="24">
                  <c:v>2273642.0441699335</c:v>
                </c:pt>
                <c:pt idx="25">
                  <c:v>1989436.7886486915</c:v>
                </c:pt>
                <c:pt idx="26">
                  <c:v>1768388.2565766149</c:v>
                </c:pt>
                <c:pt idx="27">
                  <c:v>1591549.4309189534</c:v>
                </c:pt>
                <c:pt idx="28">
                  <c:v>795774.71545947669</c:v>
                </c:pt>
                <c:pt idx="29">
                  <c:v>530516.4769729845</c:v>
                </c:pt>
                <c:pt idx="30">
                  <c:v>397887.35772973835</c:v>
                </c:pt>
                <c:pt idx="31">
                  <c:v>318309.88618379069</c:v>
                </c:pt>
                <c:pt idx="32">
                  <c:v>265258.23848649225</c:v>
                </c:pt>
                <c:pt idx="33">
                  <c:v>227364.20441699339</c:v>
                </c:pt>
                <c:pt idx="34">
                  <c:v>198943.67886486917</c:v>
                </c:pt>
                <c:pt idx="35">
                  <c:v>176838.82565766148</c:v>
                </c:pt>
                <c:pt idx="36">
                  <c:v>159154.94309189534</c:v>
                </c:pt>
                <c:pt idx="37">
                  <c:v>79577.471545947672</c:v>
                </c:pt>
                <c:pt idx="38">
                  <c:v>53051.647697298446</c:v>
                </c:pt>
                <c:pt idx="39">
                  <c:v>39788.735772973836</c:v>
                </c:pt>
                <c:pt idx="40">
                  <c:v>31830.988618379066</c:v>
                </c:pt>
                <c:pt idx="41">
                  <c:v>26525.823848649223</c:v>
                </c:pt>
                <c:pt idx="42">
                  <c:v>22736.420441699334</c:v>
                </c:pt>
                <c:pt idx="43">
                  <c:v>19894.367886486918</c:v>
                </c:pt>
                <c:pt idx="44">
                  <c:v>17683.882565766147</c:v>
                </c:pt>
                <c:pt idx="45">
                  <c:v>15915.494309189533</c:v>
                </c:pt>
                <c:pt idx="46">
                  <c:v>7957.7471545947665</c:v>
                </c:pt>
                <c:pt idx="47">
                  <c:v>5305.1647697298449</c:v>
                </c:pt>
                <c:pt idx="48">
                  <c:v>3978.8735772973832</c:v>
                </c:pt>
                <c:pt idx="49">
                  <c:v>3183.0988618379074</c:v>
                </c:pt>
                <c:pt idx="50">
                  <c:v>2652.5823848649225</c:v>
                </c:pt>
                <c:pt idx="51">
                  <c:v>2273.6420441699338</c:v>
                </c:pt>
                <c:pt idx="52">
                  <c:v>1989.4367886486916</c:v>
                </c:pt>
                <c:pt idx="53">
                  <c:v>1768.3882565766148</c:v>
                </c:pt>
                <c:pt idx="54">
                  <c:v>1591.5494309189537</c:v>
                </c:pt>
                <c:pt idx="55">
                  <c:v>795.77471545947685</c:v>
                </c:pt>
                <c:pt idx="56">
                  <c:v>530.51647697298438</c:v>
                </c:pt>
                <c:pt idx="57">
                  <c:v>397.88735772973843</c:v>
                </c:pt>
                <c:pt idx="58">
                  <c:v>318.30988618379064</c:v>
                </c:pt>
                <c:pt idx="59">
                  <c:v>265.25823848649219</c:v>
                </c:pt>
                <c:pt idx="60">
                  <c:v>227.36420441699335</c:v>
                </c:pt>
                <c:pt idx="61">
                  <c:v>198.94367886486921</c:v>
                </c:pt>
                <c:pt idx="62">
                  <c:v>176.83882565766152</c:v>
                </c:pt>
                <c:pt idx="63">
                  <c:v>159.15494309189532</c:v>
                </c:pt>
                <c:pt idx="64">
                  <c:v>79.57747154594766</c:v>
                </c:pt>
                <c:pt idx="65">
                  <c:v>53.051647697298449</c:v>
                </c:pt>
                <c:pt idx="66">
                  <c:v>39.78873577297383</c:v>
                </c:pt>
                <c:pt idx="67">
                  <c:v>31.83098861837907</c:v>
                </c:pt>
                <c:pt idx="68">
                  <c:v>26.525823848649225</c:v>
                </c:pt>
                <c:pt idx="69">
                  <c:v>22.73642044169933</c:v>
                </c:pt>
                <c:pt idx="70">
                  <c:v>19.894367886486915</c:v>
                </c:pt>
                <c:pt idx="71">
                  <c:v>17.683882565766147</c:v>
                </c:pt>
                <c:pt idx="72">
                  <c:v>15.915494309189535</c:v>
                </c:pt>
                <c:pt idx="73">
                  <c:v>7.9577471545947676</c:v>
                </c:pt>
                <c:pt idx="74">
                  <c:v>5.3051647697298447</c:v>
                </c:pt>
                <c:pt idx="75">
                  <c:v>3.9788735772973838</c:v>
                </c:pt>
                <c:pt idx="76">
                  <c:v>3.1830988618379066</c:v>
                </c:pt>
                <c:pt idx="77">
                  <c:v>2.6525823848649224</c:v>
                </c:pt>
                <c:pt idx="78">
                  <c:v>2.2736420441699337</c:v>
                </c:pt>
                <c:pt idx="79">
                  <c:v>1.9894367886486919</c:v>
                </c:pt>
                <c:pt idx="80">
                  <c:v>1.7683882565766145</c:v>
                </c:pt>
                <c:pt idx="81">
                  <c:v>1.5915494309189533</c:v>
                </c:pt>
              </c:numCache>
            </c:numRef>
          </c:yVal>
          <c:smooth val="0"/>
          <c:extLst>
            <c:ext xmlns:c16="http://schemas.microsoft.com/office/drawing/2014/chart" uri="{C3380CC4-5D6E-409C-BE32-E72D297353CC}">
              <c16:uniqueId val="{00000016-2C1F-4E51-A710-FAC99238261E}"/>
            </c:ext>
          </c:extLst>
        </c:ser>
        <c:ser>
          <c:idx val="10"/>
          <c:order val="4"/>
          <c:tx>
            <c:strRef>
              <c:f>'Capacitor Impedance'!$AL$3</c:f>
              <c:strCache>
                <c:ptCount val="1"/>
                <c:pt idx="0">
                  <c:v>0.01µF</c:v>
                </c:pt>
              </c:strCache>
            </c:strRef>
          </c:tx>
          <c:spPr>
            <a:ln w="25400" cap="rnd">
              <a:solidFill>
                <a:schemeClr val="accent5">
                  <a:lumMod val="60000"/>
                </a:schemeClr>
              </a:solidFill>
              <a:round/>
            </a:ln>
            <a:effectLst/>
          </c:spPr>
          <c:marker>
            <c:symbol val="none"/>
          </c:marker>
          <c:xVal>
            <c:numRef>
              <c:f>'Capacitor Impedance'!$Q$6:$Q$87</c:f>
              <c:numCache>
                <c:formatCode>#,##0</c:formatCode>
                <c:ptCount val="82"/>
                <c:pt idx="0">
                  <c:v>1</c:v>
                </c:pt>
                <c:pt idx="1">
                  <c:v>2</c:v>
                </c:pt>
                <c:pt idx="2">
                  <c:v>3</c:v>
                </c:pt>
                <c:pt idx="3">
                  <c:v>4</c:v>
                </c:pt>
                <c:pt idx="4">
                  <c:v>5</c:v>
                </c:pt>
                <c:pt idx="5">
                  <c:v>6</c:v>
                </c:pt>
                <c:pt idx="6">
                  <c:v>7</c:v>
                </c:pt>
                <c:pt idx="7">
                  <c:v>8</c:v>
                </c:pt>
                <c:pt idx="8">
                  <c:v>9</c:v>
                </c:pt>
                <c:pt idx="9">
                  <c:v>10</c:v>
                </c:pt>
                <c:pt idx="10">
                  <c:v>20</c:v>
                </c:pt>
                <c:pt idx="11">
                  <c:v>30</c:v>
                </c:pt>
                <c:pt idx="12">
                  <c:v>40</c:v>
                </c:pt>
                <c:pt idx="13">
                  <c:v>50</c:v>
                </c:pt>
                <c:pt idx="14">
                  <c:v>60</c:v>
                </c:pt>
                <c:pt idx="15">
                  <c:v>70</c:v>
                </c:pt>
                <c:pt idx="16">
                  <c:v>80</c:v>
                </c:pt>
                <c:pt idx="17">
                  <c:v>90</c:v>
                </c:pt>
                <c:pt idx="18">
                  <c:v>100</c:v>
                </c:pt>
                <c:pt idx="19">
                  <c:v>200</c:v>
                </c:pt>
                <c:pt idx="20">
                  <c:v>300</c:v>
                </c:pt>
                <c:pt idx="21">
                  <c:v>400</c:v>
                </c:pt>
                <c:pt idx="22">
                  <c:v>500</c:v>
                </c:pt>
                <c:pt idx="23">
                  <c:v>600</c:v>
                </c:pt>
                <c:pt idx="24">
                  <c:v>700</c:v>
                </c:pt>
                <c:pt idx="25">
                  <c:v>800</c:v>
                </c:pt>
                <c:pt idx="26">
                  <c:v>900</c:v>
                </c:pt>
                <c:pt idx="27">
                  <c:v>1000</c:v>
                </c:pt>
                <c:pt idx="28">
                  <c:v>2000</c:v>
                </c:pt>
                <c:pt idx="29">
                  <c:v>3000</c:v>
                </c:pt>
                <c:pt idx="30">
                  <c:v>4000</c:v>
                </c:pt>
                <c:pt idx="31">
                  <c:v>5000</c:v>
                </c:pt>
                <c:pt idx="32">
                  <c:v>6000</c:v>
                </c:pt>
                <c:pt idx="33">
                  <c:v>7000</c:v>
                </c:pt>
                <c:pt idx="34">
                  <c:v>8000</c:v>
                </c:pt>
                <c:pt idx="35">
                  <c:v>9000</c:v>
                </c:pt>
                <c:pt idx="36">
                  <c:v>10000</c:v>
                </c:pt>
                <c:pt idx="37">
                  <c:v>20000</c:v>
                </c:pt>
                <c:pt idx="38">
                  <c:v>30000</c:v>
                </c:pt>
                <c:pt idx="39">
                  <c:v>40000</c:v>
                </c:pt>
                <c:pt idx="40">
                  <c:v>50000</c:v>
                </c:pt>
                <c:pt idx="41">
                  <c:v>60000</c:v>
                </c:pt>
                <c:pt idx="42">
                  <c:v>70000</c:v>
                </c:pt>
                <c:pt idx="43">
                  <c:v>80000</c:v>
                </c:pt>
                <c:pt idx="44">
                  <c:v>90000</c:v>
                </c:pt>
                <c:pt idx="45">
                  <c:v>100000</c:v>
                </c:pt>
                <c:pt idx="46">
                  <c:v>200000</c:v>
                </c:pt>
                <c:pt idx="47">
                  <c:v>300000</c:v>
                </c:pt>
                <c:pt idx="48">
                  <c:v>400000</c:v>
                </c:pt>
                <c:pt idx="49">
                  <c:v>500000</c:v>
                </c:pt>
                <c:pt idx="50">
                  <c:v>600000</c:v>
                </c:pt>
                <c:pt idx="51">
                  <c:v>700000</c:v>
                </c:pt>
                <c:pt idx="52">
                  <c:v>800000</c:v>
                </c:pt>
                <c:pt idx="53">
                  <c:v>900000</c:v>
                </c:pt>
                <c:pt idx="54">
                  <c:v>1000000</c:v>
                </c:pt>
                <c:pt idx="55">
                  <c:v>2000000</c:v>
                </c:pt>
                <c:pt idx="56">
                  <c:v>3000000</c:v>
                </c:pt>
                <c:pt idx="57">
                  <c:v>4000000</c:v>
                </c:pt>
                <c:pt idx="58">
                  <c:v>5000000</c:v>
                </c:pt>
                <c:pt idx="59">
                  <c:v>6000000</c:v>
                </c:pt>
                <c:pt idx="60">
                  <c:v>7000000</c:v>
                </c:pt>
                <c:pt idx="61">
                  <c:v>8000000</c:v>
                </c:pt>
                <c:pt idx="62">
                  <c:v>9000000</c:v>
                </c:pt>
                <c:pt idx="63">
                  <c:v>10000000</c:v>
                </c:pt>
                <c:pt idx="64">
                  <c:v>20000000</c:v>
                </c:pt>
                <c:pt idx="65">
                  <c:v>30000000</c:v>
                </c:pt>
                <c:pt idx="66">
                  <c:v>40000000</c:v>
                </c:pt>
                <c:pt idx="67">
                  <c:v>50000000</c:v>
                </c:pt>
                <c:pt idx="68">
                  <c:v>60000000</c:v>
                </c:pt>
                <c:pt idx="69">
                  <c:v>70000000</c:v>
                </c:pt>
                <c:pt idx="70">
                  <c:v>80000000</c:v>
                </c:pt>
                <c:pt idx="71">
                  <c:v>90000000</c:v>
                </c:pt>
                <c:pt idx="72">
                  <c:v>100000000</c:v>
                </c:pt>
                <c:pt idx="73">
                  <c:v>200000000</c:v>
                </c:pt>
                <c:pt idx="74">
                  <c:v>300000000</c:v>
                </c:pt>
                <c:pt idx="75">
                  <c:v>400000000</c:v>
                </c:pt>
                <c:pt idx="76">
                  <c:v>500000000</c:v>
                </c:pt>
                <c:pt idx="77">
                  <c:v>600000000</c:v>
                </c:pt>
                <c:pt idx="78">
                  <c:v>700000000</c:v>
                </c:pt>
                <c:pt idx="79">
                  <c:v>800000000</c:v>
                </c:pt>
                <c:pt idx="80">
                  <c:v>900000000</c:v>
                </c:pt>
                <c:pt idx="81">
                  <c:v>1000000000</c:v>
                </c:pt>
              </c:numCache>
            </c:numRef>
          </c:xVal>
          <c:yVal>
            <c:numRef>
              <c:f>'Capacitor Impedance'!$AL$6:$AL$87</c:f>
              <c:numCache>
                <c:formatCode>0.000000000000</c:formatCode>
                <c:ptCount val="82"/>
                <c:pt idx="0">
                  <c:v>15915494309.189535</c:v>
                </c:pt>
                <c:pt idx="1">
                  <c:v>7957747154.5947676</c:v>
                </c:pt>
                <c:pt idx="2">
                  <c:v>5305164769.7298441</c:v>
                </c:pt>
                <c:pt idx="3">
                  <c:v>3978873577.2973838</c:v>
                </c:pt>
                <c:pt idx="4">
                  <c:v>3183098861.8379068</c:v>
                </c:pt>
                <c:pt idx="5">
                  <c:v>2652582384.864922</c:v>
                </c:pt>
                <c:pt idx="6">
                  <c:v>2273642044.1699333</c:v>
                </c:pt>
                <c:pt idx="7">
                  <c:v>1989436788.6486919</c:v>
                </c:pt>
                <c:pt idx="8">
                  <c:v>1768388256.5766149</c:v>
                </c:pt>
                <c:pt idx="9">
                  <c:v>1591549430.9189534</c:v>
                </c:pt>
                <c:pt idx="10">
                  <c:v>795774715.45947671</c:v>
                </c:pt>
                <c:pt idx="11">
                  <c:v>530516476.97298449</c:v>
                </c:pt>
                <c:pt idx="12">
                  <c:v>397887357.72973835</c:v>
                </c:pt>
                <c:pt idx="13">
                  <c:v>318309886.18379068</c:v>
                </c:pt>
                <c:pt idx="14">
                  <c:v>265258238.48649225</c:v>
                </c:pt>
                <c:pt idx="15">
                  <c:v>227364204.41699338</c:v>
                </c:pt>
                <c:pt idx="16">
                  <c:v>198943678.86486918</c:v>
                </c:pt>
                <c:pt idx="17">
                  <c:v>176838825.6576615</c:v>
                </c:pt>
                <c:pt idx="18">
                  <c:v>159154943.09189534</c:v>
                </c:pt>
                <c:pt idx="19">
                  <c:v>79577471.545947671</c:v>
                </c:pt>
                <c:pt idx="20">
                  <c:v>53051647.697298445</c:v>
                </c:pt>
                <c:pt idx="21">
                  <c:v>39788735.772973835</c:v>
                </c:pt>
                <c:pt idx="22">
                  <c:v>31830988.618379071</c:v>
                </c:pt>
                <c:pt idx="23">
                  <c:v>26525823.848649222</c:v>
                </c:pt>
                <c:pt idx="24">
                  <c:v>22736420.441699333</c:v>
                </c:pt>
                <c:pt idx="25">
                  <c:v>19894367.886486918</c:v>
                </c:pt>
                <c:pt idx="26">
                  <c:v>17683882.565766148</c:v>
                </c:pt>
                <c:pt idx="27">
                  <c:v>15915494.309189536</c:v>
                </c:pt>
                <c:pt idx="28">
                  <c:v>7957747.1545947678</c:v>
                </c:pt>
                <c:pt idx="29">
                  <c:v>5305164.7697298443</c:v>
                </c:pt>
                <c:pt idx="30">
                  <c:v>3978873.5772973839</c:v>
                </c:pt>
                <c:pt idx="31">
                  <c:v>3183098.8618379068</c:v>
                </c:pt>
                <c:pt idx="32">
                  <c:v>2652582.3848649221</c:v>
                </c:pt>
                <c:pt idx="33">
                  <c:v>2273642.0441699335</c:v>
                </c:pt>
                <c:pt idx="34">
                  <c:v>1989436.788648692</c:v>
                </c:pt>
                <c:pt idx="35">
                  <c:v>1768388.2565766149</c:v>
                </c:pt>
                <c:pt idx="36">
                  <c:v>1591549.4309189534</c:v>
                </c:pt>
                <c:pt idx="37">
                  <c:v>795774.71545947669</c:v>
                </c:pt>
                <c:pt idx="38">
                  <c:v>530516.4769729845</c:v>
                </c:pt>
                <c:pt idx="39">
                  <c:v>397887.35772973835</c:v>
                </c:pt>
                <c:pt idx="40">
                  <c:v>318309.88618379069</c:v>
                </c:pt>
                <c:pt idx="41">
                  <c:v>265258.23848649225</c:v>
                </c:pt>
                <c:pt idx="42">
                  <c:v>227364.20441699339</c:v>
                </c:pt>
                <c:pt idx="43">
                  <c:v>198943.67886486917</c:v>
                </c:pt>
                <c:pt idx="44">
                  <c:v>176838.82565766148</c:v>
                </c:pt>
                <c:pt idx="45">
                  <c:v>159154.94309189534</c:v>
                </c:pt>
                <c:pt idx="46">
                  <c:v>79577.471545947672</c:v>
                </c:pt>
                <c:pt idx="47">
                  <c:v>53051.647697298446</c:v>
                </c:pt>
                <c:pt idx="48">
                  <c:v>39788.735772973836</c:v>
                </c:pt>
                <c:pt idx="49">
                  <c:v>31830.988618379066</c:v>
                </c:pt>
                <c:pt idx="50">
                  <c:v>26525.823848649223</c:v>
                </c:pt>
                <c:pt idx="51">
                  <c:v>22736.420441699334</c:v>
                </c:pt>
                <c:pt idx="52">
                  <c:v>19894.367886486918</c:v>
                </c:pt>
                <c:pt idx="53">
                  <c:v>17683.882565766151</c:v>
                </c:pt>
                <c:pt idx="54">
                  <c:v>15915.494309189533</c:v>
                </c:pt>
                <c:pt idx="55">
                  <c:v>7957.7471545947665</c:v>
                </c:pt>
                <c:pt idx="56">
                  <c:v>5305.1647697298449</c:v>
                </c:pt>
                <c:pt idx="57">
                  <c:v>3978.8735772973832</c:v>
                </c:pt>
                <c:pt idx="58">
                  <c:v>3183.098861837907</c:v>
                </c:pt>
                <c:pt idx="59">
                  <c:v>2652.5823848649225</c:v>
                </c:pt>
                <c:pt idx="60">
                  <c:v>2273.6420441699338</c:v>
                </c:pt>
                <c:pt idx="61">
                  <c:v>1989.4367886486916</c:v>
                </c:pt>
                <c:pt idx="62">
                  <c:v>1768.3882565766148</c:v>
                </c:pt>
                <c:pt idx="63">
                  <c:v>1591.5494309189535</c:v>
                </c:pt>
                <c:pt idx="64">
                  <c:v>795.77471545947674</c:v>
                </c:pt>
                <c:pt idx="65">
                  <c:v>530.51647697298449</c:v>
                </c:pt>
                <c:pt idx="66">
                  <c:v>397.88735772973837</c:v>
                </c:pt>
                <c:pt idx="67">
                  <c:v>318.30988618379075</c:v>
                </c:pt>
                <c:pt idx="68">
                  <c:v>265.25823848649225</c:v>
                </c:pt>
                <c:pt idx="69">
                  <c:v>227.36420441699335</c:v>
                </c:pt>
                <c:pt idx="70">
                  <c:v>198.94367886486918</c:v>
                </c:pt>
                <c:pt idx="71">
                  <c:v>176.83882565766152</c:v>
                </c:pt>
                <c:pt idx="72">
                  <c:v>159.15494309189538</c:v>
                </c:pt>
                <c:pt idx="73">
                  <c:v>79.577471545947688</c:v>
                </c:pt>
                <c:pt idx="74">
                  <c:v>53.051647697298449</c:v>
                </c:pt>
                <c:pt idx="75">
                  <c:v>39.788735772973844</c:v>
                </c:pt>
                <c:pt idx="76">
                  <c:v>31.830988618379067</c:v>
                </c:pt>
                <c:pt idx="77">
                  <c:v>26.525823848649225</c:v>
                </c:pt>
                <c:pt idx="78">
                  <c:v>22.736420441699334</c:v>
                </c:pt>
                <c:pt idx="79">
                  <c:v>19.894367886486922</c:v>
                </c:pt>
                <c:pt idx="80">
                  <c:v>17.683882565766147</c:v>
                </c:pt>
                <c:pt idx="81">
                  <c:v>15.915494309189533</c:v>
                </c:pt>
              </c:numCache>
            </c:numRef>
          </c:yVal>
          <c:smooth val="0"/>
          <c:extLst>
            <c:ext xmlns:c16="http://schemas.microsoft.com/office/drawing/2014/chart" uri="{C3380CC4-5D6E-409C-BE32-E72D297353CC}">
              <c16:uniqueId val="{00000017-2C1F-4E51-A710-FAC99238261E}"/>
            </c:ext>
          </c:extLst>
        </c:ser>
        <c:ser>
          <c:idx val="11"/>
          <c:order val="5"/>
          <c:tx>
            <c:strRef>
              <c:f>'Capacitor Impedance'!$AQ$3</c:f>
              <c:strCache>
                <c:ptCount val="1"/>
                <c:pt idx="0">
                  <c:v>0.001µF</c:v>
                </c:pt>
              </c:strCache>
            </c:strRef>
          </c:tx>
          <c:spPr>
            <a:ln w="25400" cap="rnd">
              <a:solidFill>
                <a:schemeClr val="accent6">
                  <a:lumMod val="60000"/>
                </a:schemeClr>
              </a:solidFill>
              <a:round/>
            </a:ln>
            <a:effectLst/>
          </c:spPr>
          <c:marker>
            <c:symbol val="none"/>
          </c:marker>
          <c:xVal>
            <c:numRef>
              <c:f>'Capacitor Impedance'!$Q$6:$Q$87</c:f>
              <c:numCache>
                <c:formatCode>#,##0</c:formatCode>
                <c:ptCount val="82"/>
                <c:pt idx="0">
                  <c:v>1</c:v>
                </c:pt>
                <c:pt idx="1">
                  <c:v>2</c:v>
                </c:pt>
                <c:pt idx="2">
                  <c:v>3</c:v>
                </c:pt>
                <c:pt idx="3">
                  <c:v>4</c:v>
                </c:pt>
                <c:pt idx="4">
                  <c:v>5</c:v>
                </c:pt>
                <c:pt idx="5">
                  <c:v>6</c:v>
                </c:pt>
                <c:pt idx="6">
                  <c:v>7</c:v>
                </c:pt>
                <c:pt idx="7">
                  <c:v>8</c:v>
                </c:pt>
                <c:pt idx="8">
                  <c:v>9</c:v>
                </c:pt>
                <c:pt idx="9">
                  <c:v>10</c:v>
                </c:pt>
                <c:pt idx="10">
                  <c:v>20</c:v>
                </c:pt>
                <c:pt idx="11">
                  <c:v>30</c:v>
                </c:pt>
                <c:pt idx="12">
                  <c:v>40</c:v>
                </c:pt>
                <c:pt idx="13">
                  <c:v>50</c:v>
                </c:pt>
                <c:pt idx="14">
                  <c:v>60</c:v>
                </c:pt>
                <c:pt idx="15">
                  <c:v>70</c:v>
                </c:pt>
                <c:pt idx="16">
                  <c:v>80</c:v>
                </c:pt>
                <c:pt idx="17">
                  <c:v>90</c:v>
                </c:pt>
                <c:pt idx="18">
                  <c:v>100</c:v>
                </c:pt>
                <c:pt idx="19">
                  <c:v>200</c:v>
                </c:pt>
                <c:pt idx="20">
                  <c:v>300</c:v>
                </c:pt>
                <c:pt idx="21">
                  <c:v>400</c:v>
                </c:pt>
                <c:pt idx="22">
                  <c:v>500</c:v>
                </c:pt>
                <c:pt idx="23">
                  <c:v>600</c:v>
                </c:pt>
                <c:pt idx="24">
                  <c:v>700</c:v>
                </c:pt>
                <c:pt idx="25">
                  <c:v>800</c:v>
                </c:pt>
                <c:pt idx="26">
                  <c:v>900</c:v>
                </c:pt>
                <c:pt idx="27">
                  <c:v>1000</c:v>
                </c:pt>
                <c:pt idx="28">
                  <c:v>2000</c:v>
                </c:pt>
                <c:pt idx="29">
                  <c:v>3000</c:v>
                </c:pt>
                <c:pt idx="30">
                  <c:v>4000</c:v>
                </c:pt>
                <c:pt idx="31">
                  <c:v>5000</c:v>
                </c:pt>
                <c:pt idx="32">
                  <c:v>6000</c:v>
                </c:pt>
                <c:pt idx="33">
                  <c:v>7000</c:v>
                </c:pt>
                <c:pt idx="34">
                  <c:v>8000</c:v>
                </c:pt>
                <c:pt idx="35">
                  <c:v>9000</c:v>
                </c:pt>
                <c:pt idx="36">
                  <c:v>10000</c:v>
                </c:pt>
                <c:pt idx="37">
                  <c:v>20000</c:v>
                </c:pt>
                <c:pt idx="38">
                  <c:v>30000</c:v>
                </c:pt>
                <c:pt idx="39">
                  <c:v>40000</c:v>
                </c:pt>
                <c:pt idx="40">
                  <c:v>50000</c:v>
                </c:pt>
                <c:pt idx="41">
                  <c:v>60000</c:v>
                </c:pt>
                <c:pt idx="42">
                  <c:v>70000</c:v>
                </c:pt>
                <c:pt idx="43">
                  <c:v>80000</c:v>
                </c:pt>
                <c:pt idx="44">
                  <c:v>90000</c:v>
                </c:pt>
                <c:pt idx="45">
                  <c:v>100000</c:v>
                </c:pt>
                <c:pt idx="46">
                  <c:v>200000</c:v>
                </c:pt>
                <c:pt idx="47">
                  <c:v>300000</c:v>
                </c:pt>
                <c:pt idx="48">
                  <c:v>400000</c:v>
                </c:pt>
                <c:pt idx="49">
                  <c:v>500000</c:v>
                </c:pt>
                <c:pt idx="50">
                  <c:v>600000</c:v>
                </c:pt>
                <c:pt idx="51">
                  <c:v>700000</c:v>
                </c:pt>
                <c:pt idx="52">
                  <c:v>800000</c:v>
                </c:pt>
                <c:pt idx="53">
                  <c:v>900000</c:v>
                </c:pt>
                <c:pt idx="54">
                  <c:v>1000000</c:v>
                </c:pt>
                <c:pt idx="55">
                  <c:v>2000000</c:v>
                </c:pt>
                <c:pt idx="56">
                  <c:v>3000000</c:v>
                </c:pt>
                <c:pt idx="57">
                  <c:v>4000000</c:v>
                </c:pt>
                <c:pt idx="58">
                  <c:v>5000000</c:v>
                </c:pt>
                <c:pt idx="59">
                  <c:v>6000000</c:v>
                </c:pt>
                <c:pt idx="60">
                  <c:v>7000000</c:v>
                </c:pt>
                <c:pt idx="61">
                  <c:v>8000000</c:v>
                </c:pt>
                <c:pt idx="62">
                  <c:v>9000000</c:v>
                </c:pt>
                <c:pt idx="63">
                  <c:v>10000000</c:v>
                </c:pt>
                <c:pt idx="64">
                  <c:v>20000000</c:v>
                </c:pt>
                <c:pt idx="65">
                  <c:v>30000000</c:v>
                </c:pt>
                <c:pt idx="66">
                  <c:v>40000000</c:v>
                </c:pt>
                <c:pt idx="67">
                  <c:v>50000000</c:v>
                </c:pt>
                <c:pt idx="68">
                  <c:v>60000000</c:v>
                </c:pt>
                <c:pt idx="69">
                  <c:v>70000000</c:v>
                </c:pt>
                <c:pt idx="70">
                  <c:v>80000000</c:v>
                </c:pt>
                <c:pt idx="71">
                  <c:v>90000000</c:v>
                </c:pt>
                <c:pt idx="72">
                  <c:v>100000000</c:v>
                </c:pt>
                <c:pt idx="73">
                  <c:v>200000000</c:v>
                </c:pt>
                <c:pt idx="74">
                  <c:v>300000000</c:v>
                </c:pt>
                <c:pt idx="75">
                  <c:v>400000000</c:v>
                </c:pt>
                <c:pt idx="76">
                  <c:v>500000000</c:v>
                </c:pt>
                <c:pt idx="77">
                  <c:v>600000000</c:v>
                </c:pt>
                <c:pt idx="78">
                  <c:v>700000000</c:v>
                </c:pt>
                <c:pt idx="79">
                  <c:v>800000000</c:v>
                </c:pt>
                <c:pt idx="80">
                  <c:v>900000000</c:v>
                </c:pt>
                <c:pt idx="81">
                  <c:v>1000000000</c:v>
                </c:pt>
              </c:numCache>
            </c:numRef>
          </c:xVal>
          <c:yVal>
            <c:numRef>
              <c:f>'Capacitor Impedance'!$AQ$6:$AQ$87</c:f>
              <c:numCache>
                <c:formatCode>0.000000000000</c:formatCode>
                <c:ptCount val="82"/>
                <c:pt idx="0">
                  <c:v>159154943091.89532</c:v>
                </c:pt>
                <c:pt idx="1">
                  <c:v>79577471545.947662</c:v>
                </c:pt>
                <c:pt idx="2">
                  <c:v>53051647697.298454</c:v>
                </c:pt>
                <c:pt idx="3">
                  <c:v>39788735772.973831</c:v>
                </c:pt>
                <c:pt idx="4">
                  <c:v>31830988618.37907</c:v>
                </c:pt>
                <c:pt idx="5">
                  <c:v>26525823848.649227</c:v>
                </c:pt>
                <c:pt idx="6">
                  <c:v>22736420441.699337</c:v>
                </c:pt>
                <c:pt idx="7">
                  <c:v>19894367886.486916</c:v>
                </c:pt>
                <c:pt idx="8">
                  <c:v>17683882565.766151</c:v>
                </c:pt>
                <c:pt idx="9">
                  <c:v>15915494309.189535</c:v>
                </c:pt>
                <c:pt idx="10">
                  <c:v>7957747154.5947676</c:v>
                </c:pt>
                <c:pt idx="11">
                  <c:v>5305164769.729845</c:v>
                </c:pt>
                <c:pt idx="12">
                  <c:v>3978873577.2973838</c:v>
                </c:pt>
                <c:pt idx="13">
                  <c:v>3183098861.8379068</c:v>
                </c:pt>
                <c:pt idx="14">
                  <c:v>2652582384.8649225</c:v>
                </c:pt>
                <c:pt idx="15">
                  <c:v>2273642044.1699333</c:v>
                </c:pt>
                <c:pt idx="16">
                  <c:v>1989436788.6486919</c:v>
                </c:pt>
                <c:pt idx="17">
                  <c:v>1768388256.5766149</c:v>
                </c:pt>
                <c:pt idx="18">
                  <c:v>1591549430.9189534</c:v>
                </c:pt>
                <c:pt idx="19">
                  <c:v>795774715.45947671</c:v>
                </c:pt>
                <c:pt idx="20">
                  <c:v>530516476.97298449</c:v>
                </c:pt>
                <c:pt idx="21">
                  <c:v>397887357.72973835</c:v>
                </c:pt>
                <c:pt idx="22">
                  <c:v>318309886.18379068</c:v>
                </c:pt>
                <c:pt idx="23">
                  <c:v>265258238.48649225</c:v>
                </c:pt>
                <c:pt idx="24">
                  <c:v>227364204.41699338</c:v>
                </c:pt>
                <c:pt idx="25">
                  <c:v>198943678.86486918</c:v>
                </c:pt>
                <c:pt idx="26">
                  <c:v>176838825.6576615</c:v>
                </c:pt>
                <c:pt idx="27">
                  <c:v>159154943.09189534</c:v>
                </c:pt>
                <c:pt idx="28">
                  <c:v>79577471.545947671</c:v>
                </c:pt>
                <c:pt idx="29">
                  <c:v>53051647.697298445</c:v>
                </c:pt>
                <c:pt idx="30">
                  <c:v>39788735.772973835</c:v>
                </c:pt>
                <c:pt idx="31">
                  <c:v>31830988.618379071</c:v>
                </c:pt>
                <c:pt idx="32">
                  <c:v>26525823.848649222</c:v>
                </c:pt>
                <c:pt idx="33">
                  <c:v>22736420.441699333</c:v>
                </c:pt>
                <c:pt idx="34">
                  <c:v>19894367.886486918</c:v>
                </c:pt>
                <c:pt idx="35">
                  <c:v>17683882.565766148</c:v>
                </c:pt>
                <c:pt idx="36">
                  <c:v>15915494.309189536</c:v>
                </c:pt>
                <c:pt idx="37">
                  <c:v>7957747.1545947678</c:v>
                </c:pt>
                <c:pt idx="38">
                  <c:v>5305164.7697298443</c:v>
                </c:pt>
                <c:pt idx="39">
                  <c:v>3978873.5772973839</c:v>
                </c:pt>
                <c:pt idx="40">
                  <c:v>3183098.8618379072</c:v>
                </c:pt>
                <c:pt idx="41">
                  <c:v>2652582.3848649221</c:v>
                </c:pt>
                <c:pt idx="42">
                  <c:v>2273642.0441699335</c:v>
                </c:pt>
                <c:pt idx="43">
                  <c:v>1989436.788648692</c:v>
                </c:pt>
                <c:pt idx="44">
                  <c:v>1768388.2565766149</c:v>
                </c:pt>
                <c:pt idx="45">
                  <c:v>1591549.4309189536</c:v>
                </c:pt>
                <c:pt idx="46">
                  <c:v>795774.71545947681</c:v>
                </c:pt>
                <c:pt idx="47">
                  <c:v>530516.4769729845</c:v>
                </c:pt>
                <c:pt idx="48">
                  <c:v>397887.3577297384</c:v>
                </c:pt>
                <c:pt idx="49">
                  <c:v>318309.88618379069</c:v>
                </c:pt>
                <c:pt idx="50">
                  <c:v>265258.23848649225</c:v>
                </c:pt>
                <c:pt idx="51">
                  <c:v>227364.20441699339</c:v>
                </c:pt>
                <c:pt idx="52">
                  <c:v>198943.6788648692</c:v>
                </c:pt>
                <c:pt idx="53">
                  <c:v>176838.82565766151</c:v>
                </c:pt>
                <c:pt idx="54">
                  <c:v>159154.94309189534</c:v>
                </c:pt>
                <c:pt idx="55">
                  <c:v>79577.471545947672</c:v>
                </c:pt>
                <c:pt idx="56">
                  <c:v>53051.647697298446</c:v>
                </c:pt>
                <c:pt idx="57">
                  <c:v>39788.735772973836</c:v>
                </c:pt>
                <c:pt idx="58">
                  <c:v>31830.988618379066</c:v>
                </c:pt>
                <c:pt idx="59">
                  <c:v>26525.823848649223</c:v>
                </c:pt>
                <c:pt idx="60">
                  <c:v>22736.420441699334</c:v>
                </c:pt>
                <c:pt idx="61">
                  <c:v>19894.367886486918</c:v>
                </c:pt>
                <c:pt idx="62">
                  <c:v>17683.882565766151</c:v>
                </c:pt>
                <c:pt idx="63">
                  <c:v>15915.494309189533</c:v>
                </c:pt>
                <c:pt idx="64">
                  <c:v>7957.7471545947665</c:v>
                </c:pt>
                <c:pt idx="65">
                  <c:v>5305.1647697298449</c:v>
                </c:pt>
                <c:pt idx="66">
                  <c:v>3978.8735772973832</c:v>
                </c:pt>
                <c:pt idx="67">
                  <c:v>3183.0988618379074</c:v>
                </c:pt>
                <c:pt idx="68">
                  <c:v>2652.5823848649225</c:v>
                </c:pt>
                <c:pt idx="69">
                  <c:v>2273.6420441699333</c:v>
                </c:pt>
                <c:pt idx="70">
                  <c:v>1989.4367886486916</c:v>
                </c:pt>
                <c:pt idx="71">
                  <c:v>1768.3882565766148</c:v>
                </c:pt>
                <c:pt idx="72">
                  <c:v>1591.5494309189537</c:v>
                </c:pt>
                <c:pt idx="73">
                  <c:v>795.77471545947685</c:v>
                </c:pt>
                <c:pt idx="74">
                  <c:v>530.51647697298449</c:v>
                </c:pt>
                <c:pt idx="75">
                  <c:v>397.88735772973843</c:v>
                </c:pt>
                <c:pt idx="76">
                  <c:v>318.30988618379064</c:v>
                </c:pt>
                <c:pt idx="77">
                  <c:v>265.25823848649225</c:v>
                </c:pt>
                <c:pt idx="78">
                  <c:v>227.3642044169934</c:v>
                </c:pt>
                <c:pt idx="79">
                  <c:v>198.94367886486921</c:v>
                </c:pt>
                <c:pt idx="80">
                  <c:v>176.83882565766149</c:v>
                </c:pt>
                <c:pt idx="81">
                  <c:v>159.15494309189532</c:v>
                </c:pt>
              </c:numCache>
            </c:numRef>
          </c:yVal>
          <c:smooth val="0"/>
          <c:extLst>
            <c:ext xmlns:c16="http://schemas.microsoft.com/office/drawing/2014/chart" uri="{C3380CC4-5D6E-409C-BE32-E72D297353CC}">
              <c16:uniqueId val="{00000018-2C1F-4E51-A710-FAC99238261E}"/>
            </c:ext>
          </c:extLst>
        </c:ser>
        <c:ser>
          <c:idx val="12"/>
          <c:order val="6"/>
          <c:tx>
            <c:strRef>
              <c:f>'Capacitor Impedance'!$AV$3</c:f>
              <c:strCache>
                <c:ptCount val="1"/>
                <c:pt idx="0">
                  <c:v>0.0001µF</c:v>
                </c:pt>
              </c:strCache>
            </c:strRef>
          </c:tx>
          <c:spPr>
            <a:ln w="25400" cap="rnd">
              <a:solidFill>
                <a:schemeClr val="accent1">
                  <a:lumMod val="80000"/>
                  <a:lumOff val="20000"/>
                </a:schemeClr>
              </a:solidFill>
              <a:round/>
            </a:ln>
            <a:effectLst/>
          </c:spPr>
          <c:marker>
            <c:symbol val="none"/>
          </c:marker>
          <c:xVal>
            <c:numRef>
              <c:f>'Capacitor Impedance'!$Q$6:$Q$87</c:f>
              <c:numCache>
                <c:formatCode>#,##0</c:formatCode>
                <c:ptCount val="82"/>
                <c:pt idx="0">
                  <c:v>1</c:v>
                </c:pt>
                <c:pt idx="1">
                  <c:v>2</c:v>
                </c:pt>
                <c:pt idx="2">
                  <c:v>3</c:v>
                </c:pt>
                <c:pt idx="3">
                  <c:v>4</c:v>
                </c:pt>
                <c:pt idx="4">
                  <c:v>5</c:v>
                </c:pt>
                <c:pt idx="5">
                  <c:v>6</c:v>
                </c:pt>
                <c:pt idx="6">
                  <c:v>7</c:v>
                </c:pt>
                <c:pt idx="7">
                  <c:v>8</c:v>
                </c:pt>
                <c:pt idx="8">
                  <c:v>9</c:v>
                </c:pt>
                <c:pt idx="9">
                  <c:v>10</c:v>
                </c:pt>
                <c:pt idx="10">
                  <c:v>20</c:v>
                </c:pt>
                <c:pt idx="11">
                  <c:v>30</c:v>
                </c:pt>
                <c:pt idx="12">
                  <c:v>40</c:v>
                </c:pt>
                <c:pt idx="13">
                  <c:v>50</c:v>
                </c:pt>
                <c:pt idx="14">
                  <c:v>60</c:v>
                </c:pt>
                <c:pt idx="15">
                  <c:v>70</c:v>
                </c:pt>
                <c:pt idx="16">
                  <c:v>80</c:v>
                </c:pt>
                <c:pt idx="17">
                  <c:v>90</c:v>
                </c:pt>
                <c:pt idx="18">
                  <c:v>100</c:v>
                </c:pt>
                <c:pt idx="19">
                  <c:v>200</c:v>
                </c:pt>
                <c:pt idx="20">
                  <c:v>300</c:v>
                </c:pt>
                <c:pt idx="21">
                  <c:v>400</c:v>
                </c:pt>
                <c:pt idx="22">
                  <c:v>500</c:v>
                </c:pt>
                <c:pt idx="23">
                  <c:v>600</c:v>
                </c:pt>
                <c:pt idx="24">
                  <c:v>700</c:v>
                </c:pt>
                <c:pt idx="25">
                  <c:v>800</c:v>
                </c:pt>
                <c:pt idx="26">
                  <c:v>900</c:v>
                </c:pt>
                <c:pt idx="27">
                  <c:v>1000</c:v>
                </c:pt>
                <c:pt idx="28">
                  <c:v>2000</c:v>
                </c:pt>
                <c:pt idx="29">
                  <c:v>3000</c:v>
                </c:pt>
                <c:pt idx="30">
                  <c:v>4000</c:v>
                </c:pt>
                <c:pt idx="31">
                  <c:v>5000</c:v>
                </c:pt>
                <c:pt idx="32">
                  <c:v>6000</c:v>
                </c:pt>
                <c:pt idx="33">
                  <c:v>7000</c:v>
                </c:pt>
                <c:pt idx="34">
                  <c:v>8000</c:v>
                </c:pt>
                <c:pt idx="35">
                  <c:v>9000</c:v>
                </c:pt>
                <c:pt idx="36">
                  <c:v>10000</c:v>
                </c:pt>
                <c:pt idx="37">
                  <c:v>20000</c:v>
                </c:pt>
                <c:pt idx="38">
                  <c:v>30000</c:v>
                </c:pt>
                <c:pt idx="39">
                  <c:v>40000</c:v>
                </c:pt>
                <c:pt idx="40">
                  <c:v>50000</c:v>
                </c:pt>
                <c:pt idx="41">
                  <c:v>60000</c:v>
                </c:pt>
                <c:pt idx="42">
                  <c:v>70000</c:v>
                </c:pt>
                <c:pt idx="43">
                  <c:v>80000</c:v>
                </c:pt>
                <c:pt idx="44">
                  <c:v>90000</c:v>
                </c:pt>
                <c:pt idx="45">
                  <c:v>100000</c:v>
                </c:pt>
                <c:pt idx="46">
                  <c:v>200000</c:v>
                </c:pt>
                <c:pt idx="47">
                  <c:v>300000</c:v>
                </c:pt>
                <c:pt idx="48">
                  <c:v>400000</c:v>
                </c:pt>
                <c:pt idx="49">
                  <c:v>500000</c:v>
                </c:pt>
                <c:pt idx="50">
                  <c:v>600000</c:v>
                </c:pt>
                <c:pt idx="51">
                  <c:v>700000</c:v>
                </c:pt>
                <c:pt idx="52">
                  <c:v>800000</c:v>
                </c:pt>
                <c:pt idx="53">
                  <c:v>900000</c:v>
                </c:pt>
                <c:pt idx="54">
                  <c:v>1000000</c:v>
                </c:pt>
                <c:pt idx="55">
                  <c:v>2000000</c:v>
                </c:pt>
                <c:pt idx="56">
                  <c:v>3000000</c:v>
                </c:pt>
                <c:pt idx="57">
                  <c:v>4000000</c:v>
                </c:pt>
                <c:pt idx="58">
                  <c:v>5000000</c:v>
                </c:pt>
                <c:pt idx="59">
                  <c:v>6000000</c:v>
                </c:pt>
                <c:pt idx="60">
                  <c:v>7000000</c:v>
                </c:pt>
                <c:pt idx="61">
                  <c:v>8000000</c:v>
                </c:pt>
                <c:pt idx="62">
                  <c:v>9000000</c:v>
                </c:pt>
                <c:pt idx="63">
                  <c:v>10000000</c:v>
                </c:pt>
                <c:pt idx="64">
                  <c:v>20000000</c:v>
                </c:pt>
                <c:pt idx="65">
                  <c:v>30000000</c:v>
                </c:pt>
                <c:pt idx="66">
                  <c:v>40000000</c:v>
                </c:pt>
                <c:pt idx="67">
                  <c:v>50000000</c:v>
                </c:pt>
                <c:pt idx="68">
                  <c:v>60000000</c:v>
                </c:pt>
                <c:pt idx="69">
                  <c:v>70000000</c:v>
                </c:pt>
                <c:pt idx="70">
                  <c:v>80000000</c:v>
                </c:pt>
                <c:pt idx="71">
                  <c:v>90000000</c:v>
                </c:pt>
                <c:pt idx="72">
                  <c:v>100000000</c:v>
                </c:pt>
                <c:pt idx="73">
                  <c:v>200000000</c:v>
                </c:pt>
                <c:pt idx="74">
                  <c:v>300000000</c:v>
                </c:pt>
                <c:pt idx="75">
                  <c:v>400000000</c:v>
                </c:pt>
                <c:pt idx="76">
                  <c:v>500000000</c:v>
                </c:pt>
                <c:pt idx="77">
                  <c:v>600000000</c:v>
                </c:pt>
                <c:pt idx="78">
                  <c:v>700000000</c:v>
                </c:pt>
                <c:pt idx="79">
                  <c:v>800000000</c:v>
                </c:pt>
                <c:pt idx="80">
                  <c:v>900000000</c:v>
                </c:pt>
                <c:pt idx="81">
                  <c:v>1000000000</c:v>
                </c:pt>
              </c:numCache>
            </c:numRef>
          </c:xVal>
          <c:yVal>
            <c:numRef>
              <c:f>'Capacitor Impedance'!$AV$6:$AV$87</c:f>
              <c:numCache>
                <c:formatCode>0.000000000000</c:formatCode>
                <c:ptCount val="82"/>
                <c:pt idx="0">
                  <c:v>1591549430918.9536</c:v>
                </c:pt>
                <c:pt idx="1">
                  <c:v>795774715459.47681</c:v>
                </c:pt>
                <c:pt idx="2">
                  <c:v>530516476972.9845</c:v>
                </c:pt>
                <c:pt idx="3">
                  <c:v>397887357729.7384</c:v>
                </c:pt>
                <c:pt idx="4">
                  <c:v>318309886183.79065</c:v>
                </c:pt>
                <c:pt idx="5">
                  <c:v>265258238486.49225</c:v>
                </c:pt>
                <c:pt idx="6">
                  <c:v>227364204416.99335</c:v>
                </c:pt>
                <c:pt idx="7">
                  <c:v>198943678864.8692</c:v>
                </c:pt>
                <c:pt idx="8">
                  <c:v>176838825657.66147</c:v>
                </c:pt>
                <c:pt idx="9">
                  <c:v>159154943091.89532</c:v>
                </c:pt>
                <c:pt idx="10">
                  <c:v>79577471545.947662</c:v>
                </c:pt>
                <c:pt idx="11">
                  <c:v>53051647697.298454</c:v>
                </c:pt>
                <c:pt idx="12">
                  <c:v>39788735772.973831</c:v>
                </c:pt>
                <c:pt idx="13">
                  <c:v>31830988618.37907</c:v>
                </c:pt>
                <c:pt idx="14">
                  <c:v>26525823848.649227</c:v>
                </c:pt>
                <c:pt idx="15">
                  <c:v>22736420441.699337</c:v>
                </c:pt>
                <c:pt idx="16">
                  <c:v>19894367886.486916</c:v>
                </c:pt>
                <c:pt idx="17">
                  <c:v>17683882565.766151</c:v>
                </c:pt>
                <c:pt idx="18">
                  <c:v>15915494309.189535</c:v>
                </c:pt>
                <c:pt idx="19">
                  <c:v>7957747154.5947676</c:v>
                </c:pt>
                <c:pt idx="20">
                  <c:v>5305164769.7298441</c:v>
                </c:pt>
                <c:pt idx="21">
                  <c:v>3978873577.2973838</c:v>
                </c:pt>
                <c:pt idx="22">
                  <c:v>3183098861.8379068</c:v>
                </c:pt>
                <c:pt idx="23">
                  <c:v>2652582384.864922</c:v>
                </c:pt>
                <c:pt idx="24">
                  <c:v>2273642044.1699333</c:v>
                </c:pt>
                <c:pt idx="25">
                  <c:v>1989436788.6486919</c:v>
                </c:pt>
                <c:pt idx="26">
                  <c:v>1768388256.5766149</c:v>
                </c:pt>
                <c:pt idx="27">
                  <c:v>1591549430.9189534</c:v>
                </c:pt>
                <c:pt idx="28">
                  <c:v>795774715.45947671</c:v>
                </c:pt>
                <c:pt idx="29">
                  <c:v>530516476.97298449</c:v>
                </c:pt>
                <c:pt idx="30">
                  <c:v>397887357.72973835</c:v>
                </c:pt>
                <c:pt idx="31">
                  <c:v>318309886.18379068</c:v>
                </c:pt>
                <c:pt idx="32">
                  <c:v>265258238.48649225</c:v>
                </c:pt>
                <c:pt idx="33">
                  <c:v>227364204.41699338</c:v>
                </c:pt>
                <c:pt idx="34">
                  <c:v>198943678.86486918</c:v>
                </c:pt>
                <c:pt idx="35">
                  <c:v>176838825.65766147</c:v>
                </c:pt>
                <c:pt idx="36">
                  <c:v>159154943.09189534</c:v>
                </c:pt>
                <c:pt idx="37">
                  <c:v>79577471.545947671</c:v>
                </c:pt>
                <c:pt idx="38">
                  <c:v>53051647.697298445</c:v>
                </c:pt>
                <c:pt idx="39">
                  <c:v>39788735.772973835</c:v>
                </c:pt>
                <c:pt idx="40">
                  <c:v>31830988.618379071</c:v>
                </c:pt>
                <c:pt idx="41">
                  <c:v>26525823.848649222</c:v>
                </c:pt>
                <c:pt idx="42">
                  <c:v>22736420.441699333</c:v>
                </c:pt>
                <c:pt idx="43">
                  <c:v>19894367.886486918</c:v>
                </c:pt>
                <c:pt idx="44">
                  <c:v>17683882.565766148</c:v>
                </c:pt>
                <c:pt idx="45">
                  <c:v>15915494.309189536</c:v>
                </c:pt>
                <c:pt idx="46">
                  <c:v>7957747.1545947678</c:v>
                </c:pt>
                <c:pt idx="47">
                  <c:v>5305164.7697298443</c:v>
                </c:pt>
                <c:pt idx="48">
                  <c:v>3978873.5772973839</c:v>
                </c:pt>
                <c:pt idx="49">
                  <c:v>3183098.8618379068</c:v>
                </c:pt>
                <c:pt idx="50">
                  <c:v>2652582.3848649221</c:v>
                </c:pt>
                <c:pt idx="51">
                  <c:v>2273642.0441699335</c:v>
                </c:pt>
                <c:pt idx="52">
                  <c:v>1989436.788648692</c:v>
                </c:pt>
                <c:pt idx="53">
                  <c:v>1768388.2565766149</c:v>
                </c:pt>
                <c:pt idx="54">
                  <c:v>1591549.4309189534</c:v>
                </c:pt>
                <c:pt idx="55">
                  <c:v>795774.71545947669</c:v>
                </c:pt>
                <c:pt idx="56">
                  <c:v>530516.47697298438</c:v>
                </c:pt>
                <c:pt idx="57">
                  <c:v>397887.35772973835</c:v>
                </c:pt>
                <c:pt idx="58">
                  <c:v>318309.88618379069</c:v>
                </c:pt>
                <c:pt idx="59">
                  <c:v>265258.23848649219</c:v>
                </c:pt>
                <c:pt idx="60">
                  <c:v>227364.20441699334</c:v>
                </c:pt>
                <c:pt idx="61">
                  <c:v>198943.67886486917</c:v>
                </c:pt>
                <c:pt idx="62">
                  <c:v>176838.82565766151</c:v>
                </c:pt>
                <c:pt idx="63">
                  <c:v>159154.94309189534</c:v>
                </c:pt>
                <c:pt idx="64">
                  <c:v>79577.471545947672</c:v>
                </c:pt>
                <c:pt idx="65">
                  <c:v>53051.647697298446</c:v>
                </c:pt>
                <c:pt idx="66">
                  <c:v>39788.735772973836</c:v>
                </c:pt>
                <c:pt idx="67">
                  <c:v>31830.988618379073</c:v>
                </c:pt>
                <c:pt idx="68">
                  <c:v>26525.823848649223</c:v>
                </c:pt>
                <c:pt idx="69">
                  <c:v>22736.420441699331</c:v>
                </c:pt>
                <c:pt idx="70">
                  <c:v>19894.367886486918</c:v>
                </c:pt>
                <c:pt idx="71">
                  <c:v>17683.882565766147</c:v>
                </c:pt>
                <c:pt idx="72">
                  <c:v>15915.494309189537</c:v>
                </c:pt>
                <c:pt idx="73">
                  <c:v>7957.7471545947683</c:v>
                </c:pt>
                <c:pt idx="74">
                  <c:v>5305.1647697298449</c:v>
                </c:pt>
                <c:pt idx="75">
                  <c:v>3978.8735772973841</c:v>
                </c:pt>
                <c:pt idx="76">
                  <c:v>3183.098861837907</c:v>
                </c:pt>
                <c:pt idx="77">
                  <c:v>2652.5823848649225</c:v>
                </c:pt>
                <c:pt idx="78">
                  <c:v>2273.6420441699338</c:v>
                </c:pt>
                <c:pt idx="79">
                  <c:v>1989.4367886486921</c:v>
                </c:pt>
                <c:pt idx="80">
                  <c:v>1768.3882565766148</c:v>
                </c:pt>
                <c:pt idx="81">
                  <c:v>1591.5494309189535</c:v>
                </c:pt>
              </c:numCache>
            </c:numRef>
          </c:yVal>
          <c:smooth val="0"/>
          <c:extLst>
            <c:ext xmlns:c16="http://schemas.microsoft.com/office/drawing/2014/chart" uri="{C3380CC4-5D6E-409C-BE32-E72D297353CC}">
              <c16:uniqueId val="{00000019-2C1F-4E51-A710-FAC99238261E}"/>
            </c:ext>
          </c:extLst>
        </c:ser>
        <c:ser>
          <c:idx val="0"/>
          <c:order val="7"/>
          <c:tx>
            <c:strRef>
              <c:f>'Capacitor Impedance'!$S$3</c:f>
              <c:strCache>
                <c:ptCount val="1"/>
                <c:pt idx="0">
                  <c:v>Tantalum, 5nH</c:v>
                </c:pt>
              </c:strCache>
            </c:strRef>
          </c:tx>
          <c:spPr>
            <a:ln w="25400" cap="rnd">
              <a:solidFill>
                <a:schemeClr val="accent1"/>
              </a:solidFill>
              <a:prstDash val="sysDash"/>
              <a:round/>
            </a:ln>
            <a:effectLst/>
          </c:spPr>
          <c:marker>
            <c:symbol val="none"/>
          </c:marker>
          <c:xVal>
            <c:numRef>
              <c:f>'Capacitor Impedance'!$Q$6:$Q$87</c:f>
              <c:numCache>
                <c:formatCode>#,##0</c:formatCode>
                <c:ptCount val="82"/>
                <c:pt idx="0">
                  <c:v>1</c:v>
                </c:pt>
                <c:pt idx="1">
                  <c:v>2</c:v>
                </c:pt>
                <c:pt idx="2">
                  <c:v>3</c:v>
                </c:pt>
                <c:pt idx="3">
                  <c:v>4</c:v>
                </c:pt>
                <c:pt idx="4">
                  <c:v>5</c:v>
                </c:pt>
                <c:pt idx="5">
                  <c:v>6</c:v>
                </c:pt>
                <c:pt idx="6">
                  <c:v>7</c:v>
                </c:pt>
                <c:pt idx="7">
                  <c:v>8</c:v>
                </c:pt>
                <c:pt idx="8">
                  <c:v>9</c:v>
                </c:pt>
                <c:pt idx="9">
                  <c:v>10</c:v>
                </c:pt>
                <c:pt idx="10">
                  <c:v>20</c:v>
                </c:pt>
                <c:pt idx="11">
                  <c:v>30</c:v>
                </c:pt>
                <c:pt idx="12">
                  <c:v>40</c:v>
                </c:pt>
                <c:pt idx="13">
                  <c:v>50</c:v>
                </c:pt>
                <c:pt idx="14">
                  <c:v>60</c:v>
                </c:pt>
                <c:pt idx="15">
                  <c:v>70</c:v>
                </c:pt>
                <c:pt idx="16">
                  <c:v>80</c:v>
                </c:pt>
                <c:pt idx="17">
                  <c:v>90</c:v>
                </c:pt>
                <c:pt idx="18">
                  <c:v>100</c:v>
                </c:pt>
                <c:pt idx="19">
                  <c:v>200</c:v>
                </c:pt>
                <c:pt idx="20">
                  <c:v>300</c:v>
                </c:pt>
                <c:pt idx="21">
                  <c:v>400</c:v>
                </c:pt>
                <c:pt idx="22">
                  <c:v>500</c:v>
                </c:pt>
                <c:pt idx="23">
                  <c:v>600</c:v>
                </c:pt>
                <c:pt idx="24">
                  <c:v>700</c:v>
                </c:pt>
                <c:pt idx="25">
                  <c:v>800</c:v>
                </c:pt>
                <c:pt idx="26">
                  <c:v>900</c:v>
                </c:pt>
                <c:pt idx="27">
                  <c:v>1000</c:v>
                </c:pt>
                <c:pt idx="28">
                  <c:v>2000</c:v>
                </c:pt>
                <c:pt idx="29">
                  <c:v>3000</c:v>
                </c:pt>
                <c:pt idx="30">
                  <c:v>4000</c:v>
                </c:pt>
                <c:pt idx="31">
                  <c:v>5000</c:v>
                </c:pt>
                <c:pt idx="32">
                  <c:v>6000</c:v>
                </c:pt>
                <c:pt idx="33">
                  <c:v>7000</c:v>
                </c:pt>
                <c:pt idx="34">
                  <c:v>8000</c:v>
                </c:pt>
                <c:pt idx="35">
                  <c:v>9000</c:v>
                </c:pt>
                <c:pt idx="36">
                  <c:v>10000</c:v>
                </c:pt>
                <c:pt idx="37">
                  <c:v>20000</c:v>
                </c:pt>
                <c:pt idx="38">
                  <c:v>30000</c:v>
                </c:pt>
                <c:pt idx="39">
                  <c:v>40000</c:v>
                </c:pt>
                <c:pt idx="40">
                  <c:v>50000</c:v>
                </c:pt>
                <c:pt idx="41">
                  <c:v>60000</c:v>
                </c:pt>
                <c:pt idx="42">
                  <c:v>70000</c:v>
                </c:pt>
                <c:pt idx="43">
                  <c:v>80000</c:v>
                </c:pt>
                <c:pt idx="44">
                  <c:v>90000</c:v>
                </c:pt>
                <c:pt idx="45">
                  <c:v>100000</c:v>
                </c:pt>
                <c:pt idx="46">
                  <c:v>200000</c:v>
                </c:pt>
                <c:pt idx="47">
                  <c:v>300000</c:v>
                </c:pt>
                <c:pt idx="48">
                  <c:v>400000</c:v>
                </c:pt>
                <c:pt idx="49">
                  <c:v>500000</c:v>
                </c:pt>
                <c:pt idx="50">
                  <c:v>600000</c:v>
                </c:pt>
                <c:pt idx="51">
                  <c:v>700000</c:v>
                </c:pt>
                <c:pt idx="52">
                  <c:v>800000</c:v>
                </c:pt>
                <c:pt idx="53">
                  <c:v>900000</c:v>
                </c:pt>
                <c:pt idx="54">
                  <c:v>1000000</c:v>
                </c:pt>
                <c:pt idx="55">
                  <c:v>2000000</c:v>
                </c:pt>
                <c:pt idx="56">
                  <c:v>3000000</c:v>
                </c:pt>
                <c:pt idx="57">
                  <c:v>4000000</c:v>
                </c:pt>
                <c:pt idx="58">
                  <c:v>5000000</c:v>
                </c:pt>
                <c:pt idx="59">
                  <c:v>6000000</c:v>
                </c:pt>
                <c:pt idx="60">
                  <c:v>7000000</c:v>
                </c:pt>
                <c:pt idx="61">
                  <c:v>8000000</c:v>
                </c:pt>
                <c:pt idx="62">
                  <c:v>9000000</c:v>
                </c:pt>
                <c:pt idx="63">
                  <c:v>10000000</c:v>
                </c:pt>
                <c:pt idx="64">
                  <c:v>20000000</c:v>
                </c:pt>
                <c:pt idx="65">
                  <c:v>30000000</c:v>
                </c:pt>
                <c:pt idx="66">
                  <c:v>40000000</c:v>
                </c:pt>
                <c:pt idx="67">
                  <c:v>50000000</c:v>
                </c:pt>
                <c:pt idx="68">
                  <c:v>60000000</c:v>
                </c:pt>
                <c:pt idx="69">
                  <c:v>70000000</c:v>
                </c:pt>
                <c:pt idx="70">
                  <c:v>80000000</c:v>
                </c:pt>
                <c:pt idx="71">
                  <c:v>90000000</c:v>
                </c:pt>
                <c:pt idx="72">
                  <c:v>100000000</c:v>
                </c:pt>
                <c:pt idx="73">
                  <c:v>200000000</c:v>
                </c:pt>
                <c:pt idx="74">
                  <c:v>300000000</c:v>
                </c:pt>
                <c:pt idx="75">
                  <c:v>400000000</c:v>
                </c:pt>
                <c:pt idx="76">
                  <c:v>500000000</c:v>
                </c:pt>
                <c:pt idx="77">
                  <c:v>600000000</c:v>
                </c:pt>
                <c:pt idx="78">
                  <c:v>700000000</c:v>
                </c:pt>
                <c:pt idx="79">
                  <c:v>800000000</c:v>
                </c:pt>
                <c:pt idx="80">
                  <c:v>900000000</c:v>
                </c:pt>
                <c:pt idx="81">
                  <c:v>1000000000</c:v>
                </c:pt>
              </c:numCache>
            </c:numRef>
          </c:xVal>
          <c:yVal>
            <c:numRef>
              <c:f>'Capacitor Impedance'!$S$6:$S$87</c:f>
              <c:numCache>
                <c:formatCode>0.0000000000</c:formatCode>
                <c:ptCount val="82"/>
                <c:pt idx="0">
                  <c:v>3.1415926535897928E-5</c:v>
                </c:pt>
                <c:pt idx="1">
                  <c:v>6.2831853071795856E-5</c:v>
                </c:pt>
                <c:pt idx="2">
                  <c:v>9.4247779607693798E-5</c:v>
                </c:pt>
                <c:pt idx="3">
                  <c:v>1.2566370614359171E-4</c:v>
                </c:pt>
                <c:pt idx="4">
                  <c:v>1.5707963267948965E-4</c:v>
                </c:pt>
                <c:pt idx="5">
                  <c:v>1.884955592153876E-4</c:v>
                </c:pt>
                <c:pt idx="6">
                  <c:v>2.1991148575128551E-4</c:v>
                </c:pt>
                <c:pt idx="7">
                  <c:v>2.5132741228718343E-4</c:v>
                </c:pt>
                <c:pt idx="8">
                  <c:v>2.8274333882308137E-4</c:v>
                </c:pt>
                <c:pt idx="9">
                  <c:v>3.1415926535897931E-4</c:v>
                </c:pt>
                <c:pt idx="10">
                  <c:v>6.2831853071795862E-4</c:v>
                </c:pt>
                <c:pt idx="11">
                  <c:v>9.4247779607693793E-4</c:v>
                </c:pt>
                <c:pt idx="12">
                  <c:v>1.2566370614359172E-3</c:v>
                </c:pt>
                <c:pt idx="13">
                  <c:v>1.5707963267948967E-3</c:v>
                </c:pt>
                <c:pt idx="14">
                  <c:v>1.8849555921538759E-3</c:v>
                </c:pt>
                <c:pt idx="15">
                  <c:v>2.1991148575128548E-3</c:v>
                </c:pt>
                <c:pt idx="16">
                  <c:v>2.5132741228718345E-3</c:v>
                </c:pt>
                <c:pt idx="17">
                  <c:v>2.8274333882308137E-3</c:v>
                </c:pt>
                <c:pt idx="18">
                  <c:v>3.1415926535897933E-3</c:v>
                </c:pt>
                <c:pt idx="19">
                  <c:v>6.2831853071795866E-3</c:v>
                </c:pt>
                <c:pt idx="20">
                  <c:v>9.4247779607693795E-3</c:v>
                </c:pt>
                <c:pt idx="21">
                  <c:v>1.2566370614359173E-2</c:v>
                </c:pt>
                <c:pt idx="22">
                  <c:v>1.5707963267948963E-2</c:v>
                </c:pt>
                <c:pt idx="23">
                  <c:v>1.8849555921538759E-2</c:v>
                </c:pt>
                <c:pt idx="24">
                  <c:v>2.1991148575128548E-2</c:v>
                </c:pt>
                <c:pt idx="25">
                  <c:v>2.5132741228718346E-2</c:v>
                </c:pt>
                <c:pt idx="26">
                  <c:v>2.8274333882308138E-2</c:v>
                </c:pt>
                <c:pt idx="27">
                  <c:v>3.1415926535897927E-2</c:v>
                </c:pt>
                <c:pt idx="28">
                  <c:v>6.2831853071795854E-2</c:v>
                </c:pt>
                <c:pt idx="29">
                  <c:v>9.4247779607693802E-2</c:v>
                </c:pt>
                <c:pt idx="30">
                  <c:v>0.12566370614359171</c:v>
                </c:pt>
                <c:pt idx="31">
                  <c:v>0.15707963267948966</c:v>
                </c:pt>
                <c:pt idx="32">
                  <c:v>0.1884955592153876</c:v>
                </c:pt>
                <c:pt idx="33">
                  <c:v>0.21991148575128552</c:v>
                </c:pt>
                <c:pt idx="34">
                  <c:v>0.25132741228718342</c:v>
                </c:pt>
                <c:pt idx="35">
                  <c:v>0.28274333882308145</c:v>
                </c:pt>
                <c:pt idx="36">
                  <c:v>0.31415926535897931</c:v>
                </c:pt>
                <c:pt idx="37">
                  <c:v>0.62831853071795862</c:v>
                </c:pt>
                <c:pt idx="38">
                  <c:v>0.94247779607693793</c:v>
                </c:pt>
                <c:pt idx="39">
                  <c:v>1.2566370614359172</c:v>
                </c:pt>
                <c:pt idx="40">
                  <c:v>1.5707963267948963</c:v>
                </c:pt>
                <c:pt idx="41">
                  <c:v>1.8849555921538759</c:v>
                </c:pt>
                <c:pt idx="42">
                  <c:v>2.1991148575128552</c:v>
                </c:pt>
                <c:pt idx="43">
                  <c:v>2.5132741228718345</c:v>
                </c:pt>
                <c:pt idx="44">
                  <c:v>2.8274333882308142</c:v>
                </c:pt>
                <c:pt idx="45">
                  <c:v>3.1415926535897927</c:v>
                </c:pt>
                <c:pt idx="46">
                  <c:v>6.2831853071795853</c:v>
                </c:pt>
                <c:pt idx="47">
                  <c:v>9.4247779607693793</c:v>
                </c:pt>
                <c:pt idx="48">
                  <c:v>12.566370614359171</c:v>
                </c:pt>
                <c:pt idx="49">
                  <c:v>15.707963267948967</c:v>
                </c:pt>
                <c:pt idx="50">
                  <c:v>18.849555921538759</c:v>
                </c:pt>
                <c:pt idx="51">
                  <c:v>21.991148575128552</c:v>
                </c:pt>
                <c:pt idx="52">
                  <c:v>25.132741228718341</c:v>
                </c:pt>
                <c:pt idx="53">
                  <c:v>28.274333882308138</c:v>
                </c:pt>
                <c:pt idx="54">
                  <c:v>31.415926535897935</c:v>
                </c:pt>
                <c:pt idx="55">
                  <c:v>62.831853071795869</c:v>
                </c:pt>
                <c:pt idx="56">
                  <c:v>94.247779607693801</c:v>
                </c:pt>
                <c:pt idx="57">
                  <c:v>125.66370614359174</c:v>
                </c:pt>
                <c:pt idx="58">
                  <c:v>157.07963267948966</c:v>
                </c:pt>
                <c:pt idx="59">
                  <c:v>188.4955592153876</c:v>
                </c:pt>
                <c:pt idx="60">
                  <c:v>219.91148575128551</c:v>
                </c:pt>
                <c:pt idx="61">
                  <c:v>251.32741228718348</c:v>
                </c:pt>
                <c:pt idx="62">
                  <c:v>282.74333882308139</c:v>
                </c:pt>
                <c:pt idx="63">
                  <c:v>314.15926535897933</c:v>
                </c:pt>
                <c:pt idx="64">
                  <c:v>628.31853071795865</c:v>
                </c:pt>
                <c:pt idx="65">
                  <c:v>942.47779607693792</c:v>
                </c:pt>
                <c:pt idx="66">
                  <c:v>1256.6370614359173</c:v>
                </c:pt>
                <c:pt idx="67">
                  <c:v>1570.7963267948965</c:v>
                </c:pt>
                <c:pt idx="68">
                  <c:v>1884.9555921538758</c:v>
                </c:pt>
                <c:pt idx="69">
                  <c:v>2199.114857512855</c:v>
                </c:pt>
                <c:pt idx="70">
                  <c:v>2513.2741228718346</c:v>
                </c:pt>
                <c:pt idx="71">
                  <c:v>2827.4333882308138</c:v>
                </c:pt>
                <c:pt idx="72">
                  <c:v>3141.5926535897929</c:v>
                </c:pt>
                <c:pt idx="73">
                  <c:v>6283.1853071795858</c:v>
                </c:pt>
                <c:pt idx="74">
                  <c:v>9424.7779607693792</c:v>
                </c:pt>
                <c:pt idx="75">
                  <c:v>12566.370614359172</c:v>
                </c:pt>
                <c:pt idx="76">
                  <c:v>15707.963267948966</c:v>
                </c:pt>
                <c:pt idx="77">
                  <c:v>18849.555921538758</c:v>
                </c:pt>
                <c:pt idx="78">
                  <c:v>21991.148575128551</c:v>
                </c:pt>
                <c:pt idx="79">
                  <c:v>25132.741228718343</c:v>
                </c:pt>
                <c:pt idx="80">
                  <c:v>28274.333882308143</c:v>
                </c:pt>
                <c:pt idx="81">
                  <c:v>31415.926535897932</c:v>
                </c:pt>
              </c:numCache>
            </c:numRef>
          </c:yVal>
          <c:smooth val="0"/>
          <c:extLst>
            <c:ext xmlns:c16="http://schemas.microsoft.com/office/drawing/2014/chart" uri="{C3380CC4-5D6E-409C-BE32-E72D297353CC}">
              <c16:uniqueId val="{00000008-2C1F-4E51-A710-FAC99238261E}"/>
            </c:ext>
          </c:extLst>
        </c:ser>
        <c:ser>
          <c:idx val="1"/>
          <c:order val="8"/>
          <c:tx>
            <c:strRef>
              <c:f>'Capacitor Impedance'!$X$3</c:f>
              <c:strCache>
                <c:ptCount val="1"/>
                <c:pt idx="0">
                  <c:v>1206, 1.3nH</c:v>
                </c:pt>
              </c:strCache>
            </c:strRef>
          </c:tx>
          <c:spPr>
            <a:ln w="25400" cap="rnd">
              <a:solidFill>
                <a:schemeClr val="accent2"/>
              </a:solidFill>
              <a:prstDash val="sysDash"/>
              <a:round/>
            </a:ln>
            <a:effectLst/>
          </c:spPr>
          <c:marker>
            <c:symbol val="none"/>
          </c:marker>
          <c:xVal>
            <c:numRef>
              <c:f>'Capacitor Impedance'!$Q$6:$Q$87</c:f>
              <c:numCache>
                <c:formatCode>#,##0</c:formatCode>
                <c:ptCount val="82"/>
                <c:pt idx="0">
                  <c:v>1</c:v>
                </c:pt>
                <c:pt idx="1">
                  <c:v>2</c:v>
                </c:pt>
                <c:pt idx="2">
                  <c:v>3</c:v>
                </c:pt>
                <c:pt idx="3">
                  <c:v>4</c:v>
                </c:pt>
                <c:pt idx="4">
                  <c:v>5</c:v>
                </c:pt>
                <c:pt idx="5">
                  <c:v>6</c:v>
                </c:pt>
                <c:pt idx="6">
                  <c:v>7</c:v>
                </c:pt>
                <c:pt idx="7">
                  <c:v>8</c:v>
                </c:pt>
                <c:pt idx="8">
                  <c:v>9</c:v>
                </c:pt>
                <c:pt idx="9">
                  <c:v>10</c:v>
                </c:pt>
                <c:pt idx="10">
                  <c:v>20</c:v>
                </c:pt>
                <c:pt idx="11">
                  <c:v>30</c:v>
                </c:pt>
                <c:pt idx="12">
                  <c:v>40</c:v>
                </c:pt>
                <c:pt idx="13">
                  <c:v>50</c:v>
                </c:pt>
                <c:pt idx="14">
                  <c:v>60</c:v>
                </c:pt>
                <c:pt idx="15">
                  <c:v>70</c:v>
                </c:pt>
                <c:pt idx="16">
                  <c:v>80</c:v>
                </c:pt>
                <c:pt idx="17">
                  <c:v>90</c:v>
                </c:pt>
                <c:pt idx="18">
                  <c:v>100</c:v>
                </c:pt>
                <c:pt idx="19">
                  <c:v>200</c:v>
                </c:pt>
                <c:pt idx="20">
                  <c:v>300</c:v>
                </c:pt>
                <c:pt idx="21">
                  <c:v>400</c:v>
                </c:pt>
                <c:pt idx="22">
                  <c:v>500</c:v>
                </c:pt>
                <c:pt idx="23">
                  <c:v>600</c:v>
                </c:pt>
                <c:pt idx="24">
                  <c:v>700</c:v>
                </c:pt>
                <c:pt idx="25">
                  <c:v>800</c:v>
                </c:pt>
                <c:pt idx="26">
                  <c:v>900</c:v>
                </c:pt>
                <c:pt idx="27">
                  <c:v>1000</c:v>
                </c:pt>
                <c:pt idx="28">
                  <c:v>2000</c:v>
                </c:pt>
                <c:pt idx="29">
                  <c:v>3000</c:v>
                </c:pt>
                <c:pt idx="30">
                  <c:v>4000</c:v>
                </c:pt>
                <c:pt idx="31">
                  <c:v>5000</c:v>
                </c:pt>
                <c:pt idx="32">
                  <c:v>6000</c:v>
                </c:pt>
                <c:pt idx="33">
                  <c:v>7000</c:v>
                </c:pt>
                <c:pt idx="34">
                  <c:v>8000</c:v>
                </c:pt>
                <c:pt idx="35">
                  <c:v>9000</c:v>
                </c:pt>
                <c:pt idx="36">
                  <c:v>10000</c:v>
                </c:pt>
                <c:pt idx="37">
                  <c:v>20000</c:v>
                </c:pt>
                <c:pt idx="38">
                  <c:v>30000</c:v>
                </c:pt>
                <c:pt idx="39">
                  <c:v>40000</c:v>
                </c:pt>
                <c:pt idx="40">
                  <c:v>50000</c:v>
                </c:pt>
                <c:pt idx="41">
                  <c:v>60000</c:v>
                </c:pt>
                <c:pt idx="42">
                  <c:v>70000</c:v>
                </c:pt>
                <c:pt idx="43">
                  <c:v>80000</c:v>
                </c:pt>
                <c:pt idx="44">
                  <c:v>90000</c:v>
                </c:pt>
                <c:pt idx="45">
                  <c:v>100000</c:v>
                </c:pt>
                <c:pt idx="46">
                  <c:v>200000</c:v>
                </c:pt>
                <c:pt idx="47">
                  <c:v>300000</c:v>
                </c:pt>
                <c:pt idx="48">
                  <c:v>400000</c:v>
                </c:pt>
                <c:pt idx="49">
                  <c:v>500000</c:v>
                </c:pt>
                <c:pt idx="50">
                  <c:v>600000</c:v>
                </c:pt>
                <c:pt idx="51">
                  <c:v>700000</c:v>
                </c:pt>
                <c:pt idx="52">
                  <c:v>800000</c:v>
                </c:pt>
                <c:pt idx="53">
                  <c:v>900000</c:v>
                </c:pt>
                <c:pt idx="54">
                  <c:v>1000000</c:v>
                </c:pt>
                <c:pt idx="55">
                  <c:v>2000000</c:v>
                </c:pt>
                <c:pt idx="56">
                  <c:v>3000000</c:v>
                </c:pt>
                <c:pt idx="57">
                  <c:v>4000000</c:v>
                </c:pt>
                <c:pt idx="58">
                  <c:v>5000000</c:v>
                </c:pt>
                <c:pt idx="59">
                  <c:v>6000000</c:v>
                </c:pt>
                <c:pt idx="60">
                  <c:v>7000000</c:v>
                </c:pt>
                <c:pt idx="61">
                  <c:v>8000000</c:v>
                </c:pt>
                <c:pt idx="62">
                  <c:v>9000000</c:v>
                </c:pt>
                <c:pt idx="63">
                  <c:v>10000000</c:v>
                </c:pt>
                <c:pt idx="64">
                  <c:v>20000000</c:v>
                </c:pt>
                <c:pt idx="65">
                  <c:v>30000000</c:v>
                </c:pt>
                <c:pt idx="66">
                  <c:v>40000000</c:v>
                </c:pt>
                <c:pt idx="67">
                  <c:v>50000000</c:v>
                </c:pt>
                <c:pt idx="68">
                  <c:v>60000000</c:v>
                </c:pt>
                <c:pt idx="69">
                  <c:v>70000000</c:v>
                </c:pt>
                <c:pt idx="70">
                  <c:v>80000000</c:v>
                </c:pt>
                <c:pt idx="71">
                  <c:v>90000000</c:v>
                </c:pt>
                <c:pt idx="72">
                  <c:v>100000000</c:v>
                </c:pt>
                <c:pt idx="73">
                  <c:v>200000000</c:v>
                </c:pt>
                <c:pt idx="74">
                  <c:v>300000000</c:v>
                </c:pt>
                <c:pt idx="75">
                  <c:v>400000000</c:v>
                </c:pt>
                <c:pt idx="76">
                  <c:v>500000000</c:v>
                </c:pt>
                <c:pt idx="77">
                  <c:v>600000000</c:v>
                </c:pt>
                <c:pt idx="78">
                  <c:v>700000000</c:v>
                </c:pt>
                <c:pt idx="79">
                  <c:v>800000000</c:v>
                </c:pt>
                <c:pt idx="80">
                  <c:v>900000000</c:v>
                </c:pt>
                <c:pt idx="81">
                  <c:v>1000000000</c:v>
                </c:pt>
              </c:numCache>
            </c:numRef>
          </c:xVal>
          <c:yVal>
            <c:numRef>
              <c:f>'Capacitor Impedance'!$X$6:$X$87</c:f>
              <c:numCache>
                <c:formatCode>0.0000000000</c:formatCode>
                <c:ptCount val="82"/>
                <c:pt idx="0">
                  <c:v>8.1681408993334625E-6</c:v>
                </c:pt>
                <c:pt idx="1">
                  <c:v>1.6336281798666925E-5</c:v>
                </c:pt>
                <c:pt idx="2">
                  <c:v>2.4504422698000386E-5</c:v>
                </c:pt>
                <c:pt idx="3">
                  <c:v>3.267256359733385E-5</c:v>
                </c:pt>
                <c:pt idx="4">
                  <c:v>4.0840704496667311E-5</c:v>
                </c:pt>
                <c:pt idx="5">
                  <c:v>4.9008845396000771E-5</c:v>
                </c:pt>
                <c:pt idx="6">
                  <c:v>5.7176986295334232E-5</c:v>
                </c:pt>
                <c:pt idx="7">
                  <c:v>6.53451271946677E-5</c:v>
                </c:pt>
                <c:pt idx="8">
                  <c:v>7.3513268094001154E-5</c:v>
                </c:pt>
                <c:pt idx="9">
                  <c:v>8.1681408993334621E-5</c:v>
                </c:pt>
                <c:pt idx="10">
                  <c:v>1.6336281798666924E-4</c:v>
                </c:pt>
                <c:pt idx="11">
                  <c:v>2.4504422698000384E-4</c:v>
                </c:pt>
                <c:pt idx="12">
                  <c:v>3.2672563597333849E-4</c:v>
                </c:pt>
                <c:pt idx="13">
                  <c:v>4.0840704496667313E-4</c:v>
                </c:pt>
                <c:pt idx="14">
                  <c:v>4.9008845396000767E-4</c:v>
                </c:pt>
                <c:pt idx="15">
                  <c:v>5.7176986295334243E-4</c:v>
                </c:pt>
                <c:pt idx="16">
                  <c:v>6.5345127194667697E-4</c:v>
                </c:pt>
                <c:pt idx="17">
                  <c:v>7.3513268094001173E-4</c:v>
                </c:pt>
                <c:pt idx="18">
                  <c:v>8.1681408993334627E-4</c:v>
                </c:pt>
                <c:pt idx="19">
                  <c:v>1.6336281798666925E-3</c:v>
                </c:pt>
                <c:pt idx="20">
                  <c:v>2.4504422698000388E-3</c:v>
                </c:pt>
                <c:pt idx="21">
                  <c:v>3.2672563597333851E-3</c:v>
                </c:pt>
                <c:pt idx="22">
                  <c:v>4.0840704496667313E-3</c:v>
                </c:pt>
                <c:pt idx="23">
                  <c:v>4.9008845396000776E-3</c:v>
                </c:pt>
                <c:pt idx="24">
                  <c:v>5.7176986295334239E-3</c:v>
                </c:pt>
                <c:pt idx="25">
                  <c:v>6.5345127194667701E-3</c:v>
                </c:pt>
                <c:pt idx="26">
                  <c:v>7.3513268094001155E-3</c:v>
                </c:pt>
                <c:pt idx="27">
                  <c:v>8.1681408993334627E-3</c:v>
                </c:pt>
                <c:pt idx="28">
                  <c:v>1.6336281798666925E-2</c:v>
                </c:pt>
                <c:pt idx="29">
                  <c:v>2.4504422698000385E-2</c:v>
                </c:pt>
                <c:pt idx="30">
                  <c:v>3.2672563597333851E-2</c:v>
                </c:pt>
                <c:pt idx="31">
                  <c:v>4.084070449666731E-2</c:v>
                </c:pt>
                <c:pt idx="32">
                  <c:v>4.9008845396000769E-2</c:v>
                </c:pt>
                <c:pt idx="33">
                  <c:v>5.7176986295334235E-2</c:v>
                </c:pt>
                <c:pt idx="34">
                  <c:v>6.5345127194667701E-2</c:v>
                </c:pt>
                <c:pt idx="35">
                  <c:v>7.3513268094001161E-2</c:v>
                </c:pt>
                <c:pt idx="36">
                  <c:v>8.168140899333462E-2</c:v>
                </c:pt>
                <c:pt idx="37">
                  <c:v>0.16336281798666924</c:v>
                </c:pt>
                <c:pt idx="38">
                  <c:v>0.24504422698000389</c:v>
                </c:pt>
                <c:pt idx="39">
                  <c:v>0.32672563597333848</c:v>
                </c:pt>
                <c:pt idx="40">
                  <c:v>0.40840704496667307</c:v>
                </c:pt>
                <c:pt idx="41">
                  <c:v>0.49008845396000777</c:v>
                </c:pt>
                <c:pt idx="42">
                  <c:v>0.57176986295334231</c:v>
                </c:pt>
                <c:pt idx="43">
                  <c:v>0.65345127194667696</c:v>
                </c:pt>
                <c:pt idx="44">
                  <c:v>0.73513268094001172</c:v>
                </c:pt>
                <c:pt idx="45">
                  <c:v>0.81681408993334614</c:v>
                </c:pt>
                <c:pt idx="46">
                  <c:v>1.6336281798666923</c:v>
                </c:pt>
                <c:pt idx="47">
                  <c:v>2.450442269800039</c:v>
                </c:pt>
                <c:pt idx="48">
                  <c:v>3.2672563597333846</c:v>
                </c:pt>
                <c:pt idx="49">
                  <c:v>4.0840704496667311</c:v>
                </c:pt>
                <c:pt idx="50">
                  <c:v>4.900884539600078</c:v>
                </c:pt>
                <c:pt idx="51">
                  <c:v>5.7176986295334231</c:v>
                </c:pt>
                <c:pt idx="52">
                  <c:v>6.5345127194667691</c:v>
                </c:pt>
                <c:pt idx="53">
                  <c:v>7.3513268094001152</c:v>
                </c:pt>
                <c:pt idx="54">
                  <c:v>8.1681408993334621</c:v>
                </c:pt>
                <c:pt idx="55">
                  <c:v>16.336281798666924</c:v>
                </c:pt>
                <c:pt idx="56">
                  <c:v>24.504422698000386</c:v>
                </c:pt>
                <c:pt idx="57">
                  <c:v>32.672563597333848</c:v>
                </c:pt>
                <c:pt idx="58">
                  <c:v>40.840704496667314</c:v>
                </c:pt>
                <c:pt idx="59">
                  <c:v>49.008845396000773</c:v>
                </c:pt>
                <c:pt idx="60">
                  <c:v>57.176986295334238</c:v>
                </c:pt>
                <c:pt idx="61">
                  <c:v>65.345127194667697</c:v>
                </c:pt>
                <c:pt idx="62">
                  <c:v>73.513268094001162</c:v>
                </c:pt>
                <c:pt idx="63">
                  <c:v>81.681408993334628</c:v>
                </c:pt>
                <c:pt idx="64">
                  <c:v>163.36281798666926</c:v>
                </c:pt>
                <c:pt idx="65">
                  <c:v>245.04422698000386</c:v>
                </c:pt>
                <c:pt idx="66">
                  <c:v>326.72563597333851</c:v>
                </c:pt>
                <c:pt idx="67">
                  <c:v>408.40704496667308</c:v>
                </c:pt>
                <c:pt idx="68">
                  <c:v>490.08845396000771</c:v>
                </c:pt>
                <c:pt idx="69">
                  <c:v>571.76986295334245</c:v>
                </c:pt>
                <c:pt idx="70">
                  <c:v>653.45127194667702</c:v>
                </c:pt>
                <c:pt idx="71">
                  <c:v>735.1326809400116</c:v>
                </c:pt>
                <c:pt idx="72">
                  <c:v>816.81408993334617</c:v>
                </c:pt>
                <c:pt idx="73">
                  <c:v>1633.6281798666923</c:v>
                </c:pt>
                <c:pt idx="74">
                  <c:v>2450.4422698000385</c:v>
                </c:pt>
                <c:pt idx="75">
                  <c:v>3267.2563597333847</c:v>
                </c:pt>
                <c:pt idx="76">
                  <c:v>4084.0704496667308</c:v>
                </c:pt>
                <c:pt idx="77">
                  <c:v>4900.884539600077</c:v>
                </c:pt>
                <c:pt idx="78">
                  <c:v>5717.6986295334227</c:v>
                </c:pt>
                <c:pt idx="79">
                  <c:v>6534.5127194667693</c:v>
                </c:pt>
                <c:pt idx="80">
                  <c:v>7351.3268094001169</c:v>
                </c:pt>
                <c:pt idx="81">
                  <c:v>8168.1408993334617</c:v>
                </c:pt>
              </c:numCache>
            </c:numRef>
          </c:yVal>
          <c:smooth val="0"/>
          <c:extLst>
            <c:ext xmlns:c16="http://schemas.microsoft.com/office/drawing/2014/chart" uri="{C3380CC4-5D6E-409C-BE32-E72D297353CC}">
              <c16:uniqueId val="{0000000A-2C1F-4E51-A710-FAC99238261E}"/>
            </c:ext>
          </c:extLst>
        </c:ser>
        <c:ser>
          <c:idx val="2"/>
          <c:order val="9"/>
          <c:tx>
            <c:strRef>
              <c:f>'Capacitor Impedance'!$AC$3</c:f>
              <c:strCache>
                <c:ptCount val="1"/>
                <c:pt idx="0">
                  <c:v>805, 0.9nH</c:v>
                </c:pt>
              </c:strCache>
            </c:strRef>
          </c:tx>
          <c:spPr>
            <a:ln w="25400" cap="rnd">
              <a:solidFill>
                <a:schemeClr val="accent3"/>
              </a:solidFill>
              <a:prstDash val="sysDash"/>
              <a:round/>
            </a:ln>
            <a:effectLst/>
          </c:spPr>
          <c:marker>
            <c:symbol val="none"/>
          </c:marker>
          <c:xVal>
            <c:numRef>
              <c:f>'Capacitor Impedance'!$Q$6:$Q$87</c:f>
              <c:numCache>
                <c:formatCode>#,##0</c:formatCode>
                <c:ptCount val="82"/>
                <c:pt idx="0">
                  <c:v>1</c:v>
                </c:pt>
                <c:pt idx="1">
                  <c:v>2</c:v>
                </c:pt>
                <c:pt idx="2">
                  <c:v>3</c:v>
                </c:pt>
                <c:pt idx="3">
                  <c:v>4</c:v>
                </c:pt>
                <c:pt idx="4">
                  <c:v>5</c:v>
                </c:pt>
                <c:pt idx="5">
                  <c:v>6</c:v>
                </c:pt>
                <c:pt idx="6">
                  <c:v>7</c:v>
                </c:pt>
                <c:pt idx="7">
                  <c:v>8</c:v>
                </c:pt>
                <c:pt idx="8">
                  <c:v>9</c:v>
                </c:pt>
                <c:pt idx="9">
                  <c:v>10</c:v>
                </c:pt>
                <c:pt idx="10">
                  <c:v>20</c:v>
                </c:pt>
                <c:pt idx="11">
                  <c:v>30</c:v>
                </c:pt>
                <c:pt idx="12">
                  <c:v>40</c:v>
                </c:pt>
                <c:pt idx="13">
                  <c:v>50</c:v>
                </c:pt>
                <c:pt idx="14">
                  <c:v>60</c:v>
                </c:pt>
                <c:pt idx="15">
                  <c:v>70</c:v>
                </c:pt>
                <c:pt idx="16">
                  <c:v>80</c:v>
                </c:pt>
                <c:pt idx="17">
                  <c:v>90</c:v>
                </c:pt>
                <c:pt idx="18">
                  <c:v>100</c:v>
                </c:pt>
                <c:pt idx="19">
                  <c:v>200</c:v>
                </c:pt>
                <c:pt idx="20">
                  <c:v>300</c:v>
                </c:pt>
                <c:pt idx="21">
                  <c:v>400</c:v>
                </c:pt>
                <c:pt idx="22">
                  <c:v>500</c:v>
                </c:pt>
                <c:pt idx="23">
                  <c:v>600</c:v>
                </c:pt>
                <c:pt idx="24">
                  <c:v>700</c:v>
                </c:pt>
                <c:pt idx="25">
                  <c:v>800</c:v>
                </c:pt>
                <c:pt idx="26">
                  <c:v>900</c:v>
                </c:pt>
                <c:pt idx="27">
                  <c:v>1000</c:v>
                </c:pt>
                <c:pt idx="28">
                  <c:v>2000</c:v>
                </c:pt>
                <c:pt idx="29">
                  <c:v>3000</c:v>
                </c:pt>
                <c:pt idx="30">
                  <c:v>4000</c:v>
                </c:pt>
                <c:pt idx="31">
                  <c:v>5000</c:v>
                </c:pt>
                <c:pt idx="32">
                  <c:v>6000</c:v>
                </c:pt>
                <c:pt idx="33">
                  <c:v>7000</c:v>
                </c:pt>
                <c:pt idx="34">
                  <c:v>8000</c:v>
                </c:pt>
                <c:pt idx="35">
                  <c:v>9000</c:v>
                </c:pt>
                <c:pt idx="36">
                  <c:v>10000</c:v>
                </c:pt>
                <c:pt idx="37">
                  <c:v>20000</c:v>
                </c:pt>
                <c:pt idx="38">
                  <c:v>30000</c:v>
                </c:pt>
                <c:pt idx="39">
                  <c:v>40000</c:v>
                </c:pt>
                <c:pt idx="40">
                  <c:v>50000</c:v>
                </c:pt>
                <c:pt idx="41">
                  <c:v>60000</c:v>
                </c:pt>
                <c:pt idx="42">
                  <c:v>70000</c:v>
                </c:pt>
                <c:pt idx="43">
                  <c:v>80000</c:v>
                </c:pt>
                <c:pt idx="44">
                  <c:v>90000</c:v>
                </c:pt>
                <c:pt idx="45">
                  <c:v>100000</c:v>
                </c:pt>
                <c:pt idx="46">
                  <c:v>200000</c:v>
                </c:pt>
                <c:pt idx="47">
                  <c:v>300000</c:v>
                </c:pt>
                <c:pt idx="48">
                  <c:v>400000</c:v>
                </c:pt>
                <c:pt idx="49">
                  <c:v>500000</c:v>
                </c:pt>
                <c:pt idx="50">
                  <c:v>600000</c:v>
                </c:pt>
                <c:pt idx="51">
                  <c:v>700000</c:v>
                </c:pt>
                <c:pt idx="52">
                  <c:v>800000</c:v>
                </c:pt>
                <c:pt idx="53">
                  <c:v>900000</c:v>
                </c:pt>
                <c:pt idx="54">
                  <c:v>1000000</c:v>
                </c:pt>
                <c:pt idx="55">
                  <c:v>2000000</c:v>
                </c:pt>
                <c:pt idx="56">
                  <c:v>3000000</c:v>
                </c:pt>
                <c:pt idx="57">
                  <c:v>4000000</c:v>
                </c:pt>
                <c:pt idx="58">
                  <c:v>5000000</c:v>
                </c:pt>
                <c:pt idx="59">
                  <c:v>6000000</c:v>
                </c:pt>
                <c:pt idx="60">
                  <c:v>7000000</c:v>
                </c:pt>
                <c:pt idx="61">
                  <c:v>8000000</c:v>
                </c:pt>
                <c:pt idx="62">
                  <c:v>9000000</c:v>
                </c:pt>
                <c:pt idx="63">
                  <c:v>10000000</c:v>
                </c:pt>
                <c:pt idx="64">
                  <c:v>20000000</c:v>
                </c:pt>
                <c:pt idx="65">
                  <c:v>30000000</c:v>
                </c:pt>
                <c:pt idx="66">
                  <c:v>40000000</c:v>
                </c:pt>
                <c:pt idx="67">
                  <c:v>50000000</c:v>
                </c:pt>
                <c:pt idx="68">
                  <c:v>60000000</c:v>
                </c:pt>
                <c:pt idx="69">
                  <c:v>70000000</c:v>
                </c:pt>
                <c:pt idx="70">
                  <c:v>80000000</c:v>
                </c:pt>
                <c:pt idx="71">
                  <c:v>90000000</c:v>
                </c:pt>
                <c:pt idx="72">
                  <c:v>100000000</c:v>
                </c:pt>
                <c:pt idx="73">
                  <c:v>200000000</c:v>
                </c:pt>
                <c:pt idx="74">
                  <c:v>300000000</c:v>
                </c:pt>
                <c:pt idx="75">
                  <c:v>400000000</c:v>
                </c:pt>
                <c:pt idx="76">
                  <c:v>500000000</c:v>
                </c:pt>
                <c:pt idx="77">
                  <c:v>600000000</c:v>
                </c:pt>
                <c:pt idx="78">
                  <c:v>700000000</c:v>
                </c:pt>
                <c:pt idx="79">
                  <c:v>800000000</c:v>
                </c:pt>
                <c:pt idx="80">
                  <c:v>900000000</c:v>
                </c:pt>
                <c:pt idx="81">
                  <c:v>1000000000</c:v>
                </c:pt>
              </c:numCache>
            </c:numRef>
          </c:xVal>
          <c:yVal>
            <c:numRef>
              <c:f>'Capacitor Impedance'!$AC$6:$AC$87</c:f>
              <c:numCache>
                <c:formatCode>0.0000000000</c:formatCode>
                <c:ptCount val="82"/>
                <c:pt idx="0">
                  <c:v>5.6548667764616283E-6</c:v>
                </c:pt>
                <c:pt idx="1">
                  <c:v>1.1309733552923257E-5</c:v>
                </c:pt>
                <c:pt idx="2">
                  <c:v>1.6964600329384882E-5</c:v>
                </c:pt>
                <c:pt idx="3">
                  <c:v>2.2619467105846513E-5</c:v>
                </c:pt>
                <c:pt idx="4">
                  <c:v>2.8274333882308141E-5</c:v>
                </c:pt>
                <c:pt idx="5">
                  <c:v>3.3929200658769765E-5</c:v>
                </c:pt>
                <c:pt idx="6">
                  <c:v>3.9584067435231403E-5</c:v>
                </c:pt>
                <c:pt idx="7">
                  <c:v>4.5238934211693027E-5</c:v>
                </c:pt>
                <c:pt idx="8">
                  <c:v>5.0893800988154651E-5</c:v>
                </c:pt>
                <c:pt idx="9">
                  <c:v>5.6548667764616282E-5</c:v>
                </c:pt>
                <c:pt idx="10">
                  <c:v>1.1309733552923256E-4</c:v>
                </c:pt>
                <c:pt idx="11">
                  <c:v>1.6964600329384883E-4</c:v>
                </c:pt>
                <c:pt idx="12">
                  <c:v>2.2619467105846513E-4</c:v>
                </c:pt>
                <c:pt idx="13">
                  <c:v>2.8274333882308142E-4</c:v>
                </c:pt>
                <c:pt idx="14">
                  <c:v>3.3929200658769766E-4</c:v>
                </c:pt>
                <c:pt idx="15">
                  <c:v>3.9584067435231396E-4</c:v>
                </c:pt>
                <c:pt idx="16">
                  <c:v>4.5238934211693025E-4</c:v>
                </c:pt>
                <c:pt idx="17">
                  <c:v>5.0893800988154655E-4</c:v>
                </c:pt>
                <c:pt idx="18">
                  <c:v>5.6548667764616284E-4</c:v>
                </c:pt>
                <c:pt idx="19">
                  <c:v>1.1309733552923257E-3</c:v>
                </c:pt>
                <c:pt idx="20">
                  <c:v>1.6964600329384884E-3</c:v>
                </c:pt>
                <c:pt idx="21">
                  <c:v>2.2619467105846514E-3</c:v>
                </c:pt>
                <c:pt idx="22">
                  <c:v>2.8274333882308137E-3</c:v>
                </c:pt>
                <c:pt idx="23">
                  <c:v>3.3929200658769768E-3</c:v>
                </c:pt>
                <c:pt idx="24">
                  <c:v>3.9584067435231391E-3</c:v>
                </c:pt>
                <c:pt idx="25">
                  <c:v>4.5238934211693027E-3</c:v>
                </c:pt>
                <c:pt idx="26">
                  <c:v>5.0893800988154655E-3</c:v>
                </c:pt>
                <c:pt idx="27">
                  <c:v>5.6548667764616273E-3</c:v>
                </c:pt>
                <c:pt idx="28">
                  <c:v>1.1309733552923255E-2</c:v>
                </c:pt>
                <c:pt idx="29">
                  <c:v>1.6964600329384887E-2</c:v>
                </c:pt>
                <c:pt idx="30">
                  <c:v>2.2619467105846509E-2</c:v>
                </c:pt>
                <c:pt idx="31">
                  <c:v>2.8274333882308142E-2</c:v>
                </c:pt>
                <c:pt idx="32">
                  <c:v>3.3929200658769774E-2</c:v>
                </c:pt>
                <c:pt idx="33">
                  <c:v>3.9584067435231393E-2</c:v>
                </c:pt>
                <c:pt idx="34">
                  <c:v>4.5238934211693019E-2</c:v>
                </c:pt>
                <c:pt idx="35">
                  <c:v>5.0893800988154658E-2</c:v>
                </c:pt>
                <c:pt idx="36">
                  <c:v>5.6548667764616284E-2</c:v>
                </c:pt>
                <c:pt idx="37">
                  <c:v>0.11309733552923257</c:v>
                </c:pt>
                <c:pt idx="38">
                  <c:v>0.16964600329384885</c:v>
                </c:pt>
                <c:pt idx="39">
                  <c:v>0.22619467105846514</c:v>
                </c:pt>
                <c:pt idx="40">
                  <c:v>0.28274333882308139</c:v>
                </c:pt>
                <c:pt idx="41">
                  <c:v>0.3392920065876977</c:v>
                </c:pt>
                <c:pt idx="42">
                  <c:v>0.39584067435231396</c:v>
                </c:pt>
                <c:pt idx="43">
                  <c:v>0.45238934211693027</c:v>
                </c:pt>
                <c:pt idx="44">
                  <c:v>0.50893800988154658</c:v>
                </c:pt>
                <c:pt idx="45">
                  <c:v>0.56548667764616278</c:v>
                </c:pt>
                <c:pt idx="46">
                  <c:v>1.1309733552923256</c:v>
                </c:pt>
                <c:pt idx="47">
                  <c:v>1.6964600329384885</c:v>
                </c:pt>
                <c:pt idx="48">
                  <c:v>2.2619467105846511</c:v>
                </c:pt>
                <c:pt idx="49">
                  <c:v>2.8274333882308142</c:v>
                </c:pt>
                <c:pt idx="50">
                  <c:v>3.3929200658769769</c:v>
                </c:pt>
                <c:pt idx="51">
                  <c:v>3.9584067435231391</c:v>
                </c:pt>
                <c:pt idx="52">
                  <c:v>4.5238934211693023</c:v>
                </c:pt>
                <c:pt idx="53">
                  <c:v>5.0893800988154654</c:v>
                </c:pt>
                <c:pt idx="54">
                  <c:v>5.6548667764616285</c:v>
                </c:pt>
                <c:pt idx="55">
                  <c:v>11.309733552923257</c:v>
                </c:pt>
                <c:pt idx="56">
                  <c:v>16.964600329384883</c:v>
                </c:pt>
                <c:pt idx="57">
                  <c:v>22.619467105846514</c:v>
                </c:pt>
                <c:pt idx="58">
                  <c:v>28.274333882308142</c:v>
                </c:pt>
                <c:pt idx="59">
                  <c:v>33.929200658769766</c:v>
                </c:pt>
                <c:pt idx="60">
                  <c:v>39.584067435231397</c:v>
                </c:pt>
                <c:pt idx="61">
                  <c:v>45.238934211693028</c:v>
                </c:pt>
                <c:pt idx="62">
                  <c:v>50.893800988154652</c:v>
                </c:pt>
                <c:pt idx="63">
                  <c:v>56.548667764616283</c:v>
                </c:pt>
                <c:pt idx="64">
                  <c:v>113.09733552923257</c:v>
                </c:pt>
                <c:pt idx="65">
                  <c:v>169.64600329384885</c:v>
                </c:pt>
                <c:pt idx="66">
                  <c:v>226.19467105846513</c:v>
                </c:pt>
                <c:pt idx="67">
                  <c:v>282.74333882308139</c:v>
                </c:pt>
                <c:pt idx="68">
                  <c:v>339.2920065876977</c:v>
                </c:pt>
                <c:pt idx="69">
                  <c:v>395.84067435231395</c:v>
                </c:pt>
                <c:pt idx="70">
                  <c:v>452.38934211693027</c:v>
                </c:pt>
                <c:pt idx="71">
                  <c:v>508.93800988154658</c:v>
                </c:pt>
                <c:pt idx="72">
                  <c:v>565.48667764616278</c:v>
                </c:pt>
                <c:pt idx="73">
                  <c:v>1130.9733552923256</c:v>
                </c:pt>
                <c:pt idx="74">
                  <c:v>1696.4600329384884</c:v>
                </c:pt>
                <c:pt idx="75">
                  <c:v>2261.9467105846511</c:v>
                </c:pt>
                <c:pt idx="76">
                  <c:v>2827.4333882308142</c:v>
                </c:pt>
                <c:pt idx="77">
                  <c:v>3392.9200658769769</c:v>
                </c:pt>
                <c:pt idx="78">
                  <c:v>3958.4067435231395</c:v>
                </c:pt>
                <c:pt idx="79">
                  <c:v>4523.8934211693022</c:v>
                </c:pt>
                <c:pt idx="80">
                  <c:v>5089.3800988154653</c:v>
                </c:pt>
                <c:pt idx="81">
                  <c:v>5654.8667764616284</c:v>
                </c:pt>
              </c:numCache>
            </c:numRef>
          </c:yVal>
          <c:smooth val="0"/>
          <c:extLst>
            <c:ext xmlns:c16="http://schemas.microsoft.com/office/drawing/2014/chart" uri="{C3380CC4-5D6E-409C-BE32-E72D297353CC}">
              <c16:uniqueId val="{0000000C-2C1F-4E51-A710-FAC99238261E}"/>
            </c:ext>
          </c:extLst>
        </c:ser>
        <c:ser>
          <c:idx val="3"/>
          <c:order val="10"/>
          <c:tx>
            <c:strRef>
              <c:f>'Capacitor Impedance'!$AH$3</c:f>
              <c:strCache>
                <c:ptCount val="1"/>
                <c:pt idx="0">
                  <c:v>603, 0.6nH</c:v>
                </c:pt>
              </c:strCache>
            </c:strRef>
          </c:tx>
          <c:spPr>
            <a:ln w="25400" cap="rnd">
              <a:solidFill>
                <a:schemeClr val="accent4"/>
              </a:solidFill>
              <a:prstDash val="sysDash"/>
              <a:round/>
            </a:ln>
            <a:effectLst/>
          </c:spPr>
          <c:marker>
            <c:symbol val="none"/>
          </c:marker>
          <c:xVal>
            <c:numRef>
              <c:f>'Capacitor Impedance'!$Q$6:$Q$87</c:f>
              <c:numCache>
                <c:formatCode>#,##0</c:formatCode>
                <c:ptCount val="82"/>
                <c:pt idx="0">
                  <c:v>1</c:v>
                </c:pt>
                <c:pt idx="1">
                  <c:v>2</c:v>
                </c:pt>
                <c:pt idx="2">
                  <c:v>3</c:v>
                </c:pt>
                <c:pt idx="3">
                  <c:v>4</c:v>
                </c:pt>
                <c:pt idx="4">
                  <c:v>5</c:v>
                </c:pt>
                <c:pt idx="5">
                  <c:v>6</c:v>
                </c:pt>
                <c:pt idx="6">
                  <c:v>7</c:v>
                </c:pt>
                <c:pt idx="7">
                  <c:v>8</c:v>
                </c:pt>
                <c:pt idx="8">
                  <c:v>9</c:v>
                </c:pt>
                <c:pt idx="9">
                  <c:v>10</c:v>
                </c:pt>
                <c:pt idx="10">
                  <c:v>20</c:v>
                </c:pt>
                <c:pt idx="11">
                  <c:v>30</c:v>
                </c:pt>
                <c:pt idx="12">
                  <c:v>40</c:v>
                </c:pt>
                <c:pt idx="13">
                  <c:v>50</c:v>
                </c:pt>
                <c:pt idx="14">
                  <c:v>60</c:v>
                </c:pt>
                <c:pt idx="15">
                  <c:v>70</c:v>
                </c:pt>
                <c:pt idx="16">
                  <c:v>80</c:v>
                </c:pt>
                <c:pt idx="17">
                  <c:v>90</c:v>
                </c:pt>
                <c:pt idx="18">
                  <c:v>100</c:v>
                </c:pt>
                <c:pt idx="19">
                  <c:v>200</c:v>
                </c:pt>
                <c:pt idx="20">
                  <c:v>300</c:v>
                </c:pt>
                <c:pt idx="21">
                  <c:v>400</c:v>
                </c:pt>
                <c:pt idx="22">
                  <c:v>500</c:v>
                </c:pt>
                <c:pt idx="23">
                  <c:v>600</c:v>
                </c:pt>
                <c:pt idx="24">
                  <c:v>700</c:v>
                </c:pt>
                <c:pt idx="25">
                  <c:v>800</c:v>
                </c:pt>
                <c:pt idx="26">
                  <c:v>900</c:v>
                </c:pt>
                <c:pt idx="27">
                  <c:v>1000</c:v>
                </c:pt>
                <c:pt idx="28">
                  <c:v>2000</c:v>
                </c:pt>
                <c:pt idx="29">
                  <c:v>3000</c:v>
                </c:pt>
                <c:pt idx="30">
                  <c:v>4000</c:v>
                </c:pt>
                <c:pt idx="31">
                  <c:v>5000</c:v>
                </c:pt>
                <c:pt idx="32">
                  <c:v>6000</c:v>
                </c:pt>
                <c:pt idx="33">
                  <c:v>7000</c:v>
                </c:pt>
                <c:pt idx="34">
                  <c:v>8000</c:v>
                </c:pt>
                <c:pt idx="35">
                  <c:v>9000</c:v>
                </c:pt>
                <c:pt idx="36">
                  <c:v>10000</c:v>
                </c:pt>
                <c:pt idx="37">
                  <c:v>20000</c:v>
                </c:pt>
                <c:pt idx="38">
                  <c:v>30000</c:v>
                </c:pt>
                <c:pt idx="39">
                  <c:v>40000</c:v>
                </c:pt>
                <c:pt idx="40">
                  <c:v>50000</c:v>
                </c:pt>
                <c:pt idx="41">
                  <c:v>60000</c:v>
                </c:pt>
                <c:pt idx="42">
                  <c:v>70000</c:v>
                </c:pt>
                <c:pt idx="43">
                  <c:v>80000</c:v>
                </c:pt>
                <c:pt idx="44">
                  <c:v>90000</c:v>
                </c:pt>
                <c:pt idx="45">
                  <c:v>100000</c:v>
                </c:pt>
                <c:pt idx="46">
                  <c:v>200000</c:v>
                </c:pt>
                <c:pt idx="47">
                  <c:v>300000</c:v>
                </c:pt>
                <c:pt idx="48">
                  <c:v>400000</c:v>
                </c:pt>
                <c:pt idx="49">
                  <c:v>500000</c:v>
                </c:pt>
                <c:pt idx="50">
                  <c:v>600000</c:v>
                </c:pt>
                <c:pt idx="51">
                  <c:v>700000</c:v>
                </c:pt>
                <c:pt idx="52">
                  <c:v>800000</c:v>
                </c:pt>
                <c:pt idx="53">
                  <c:v>900000</c:v>
                </c:pt>
                <c:pt idx="54">
                  <c:v>1000000</c:v>
                </c:pt>
                <c:pt idx="55">
                  <c:v>2000000</c:v>
                </c:pt>
                <c:pt idx="56">
                  <c:v>3000000</c:v>
                </c:pt>
                <c:pt idx="57">
                  <c:v>4000000</c:v>
                </c:pt>
                <c:pt idx="58">
                  <c:v>5000000</c:v>
                </c:pt>
                <c:pt idx="59">
                  <c:v>6000000</c:v>
                </c:pt>
                <c:pt idx="60">
                  <c:v>7000000</c:v>
                </c:pt>
                <c:pt idx="61">
                  <c:v>8000000</c:v>
                </c:pt>
                <c:pt idx="62">
                  <c:v>9000000</c:v>
                </c:pt>
                <c:pt idx="63">
                  <c:v>10000000</c:v>
                </c:pt>
                <c:pt idx="64">
                  <c:v>20000000</c:v>
                </c:pt>
                <c:pt idx="65">
                  <c:v>30000000</c:v>
                </c:pt>
                <c:pt idx="66">
                  <c:v>40000000</c:v>
                </c:pt>
                <c:pt idx="67">
                  <c:v>50000000</c:v>
                </c:pt>
                <c:pt idx="68">
                  <c:v>60000000</c:v>
                </c:pt>
                <c:pt idx="69">
                  <c:v>70000000</c:v>
                </c:pt>
                <c:pt idx="70">
                  <c:v>80000000</c:v>
                </c:pt>
                <c:pt idx="71">
                  <c:v>90000000</c:v>
                </c:pt>
                <c:pt idx="72">
                  <c:v>100000000</c:v>
                </c:pt>
                <c:pt idx="73">
                  <c:v>200000000</c:v>
                </c:pt>
                <c:pt idx="74">
                  <c:v>300000000</c:v>
                </c:pt>
                <c:pt idx="75">
                  <c:v>400000000</c:v>
                </c:pt>
                <c:pt idx="76">
                  <c:v>500000000</c:v>
                </c:pt>
                <c:pt idx="77">
                  <c:v>600000000</c:v>
                </c:pt>
                <c:pt idx="78">
                  <c:v>700000000</c:v>
                </c:pt>
                <c:pt idx="79">
                  <c:v>800000000</c:v>
                </c:pt>
                <c:pt idx="80">
                  <c:v>900000000</c:v>
                </c:pt>
                <c:pt idx="81">
                  <c:v>1000000000</c:v>
                </c:pt>
              </c:numCache>
            </c:numRef>
          </c:xVal>
          <c:yVal>
            <c:numRef>
              <c:f>'Capacitor Impedance'!$AH$6:$AH$87</c:f>
              <c:numCache>
                <c:formatCode>0.0000000000</c:formatCode>
                <c:ptCount val="82"/>
                <c:pt idx="0">
                  <c:v>4.3982297150257108E-6</c:v>
                </c:pt>
                <c:pt idx="1">
                  <c:v>8.7964594300514217E-6</c:v>
                </c:pt>
                <c:pt idx="2">
                  <c:v>1.3194689145077129E-5</c:v>
                </c:pt>
                <c:pt idx="3">
                  <c:v>1.7592918860102843E-5</c:v>
                </c:pt>
                <c:pt idx="4">
                  <c:v>2.1991148575128552E-5</c:v>
                </c:pt>
                <c:pt idx="5">
                  <c:v>2.6389378290154258E-5</c:v>
                </c:pt>
                <c:pt idx="6">
                  <c:v>3.0787608005179971E-5</c:v>
                </c:pt>
                <c:pt idx="7">
                  <c:v>3.5185837720205687E-5</c:v>
                </c:pt>
                <c:pt idx="8">
                  <c:v>3.9584067435231396E-5</c:v>
                </c:pt>
                <c:pt idx="9">
                  <c:v>4.3982297150257105E-5</c:v>
                </c:pt>
                <c:pt idx="10">
                  <c:v>8.796459430051421E-5</c:v>
                </c:pt>
                <c:pt idx="11">
                  <c:v>1.319468914507713E-4</c:v>
                </c:pt>
                <c:pt idx="12">
                  <c:v>1.7592918860102842E-4</c:v>
                </c:pt>
                <c:pt idx="13">
                  <c:v>2.1991148575128551E-4</c:v>
                </c:pt>
                <c:pt idx="14">
                  <c:v>2.638937829015426E-4</c:v>
                </c:pt>
                <c:pt idx="15">
                  <c:v>3.0787608005179972E-4</c:v>
                </c:pt>
                <c:pt idx="16">
                  <c:v>3.5185837720205684E-4</c:v>
                </c:pt>
                <c:pt idx="17">
                  <c:v>3.958406743523139E-4</c:v>
                </c:pt>
                <c:pt idx="18">
                  <c:v>4.3982297150257102E-4</c:v>
                </c:pt>
                <c:pt idx="19">
                  <c:v>8.7964594300514204E-4</c:v>
                </c:pt>
                <c:pt idx="20">
                  <c:v>1.3194689145077129E-3</c:v>
                </c:pt>
                <c:pt idx="21">
                  <c:v>1.7592918860102841E-3</c:v>
                </c:pt>
                <c:pt idx="22">
                  <c:v>2.1991148575128548E-3</c:v>
                </c:pt>
                <c:pt idx="23">
                  <c:v>2.6389378290154258E-3</c:v>
                </c:pt>
                <c:pt idx="24">
                  <c:v>3.0787608005179968E-3</c:v>
                </c:pt>
                <c:pt idx="25">
                  <c:v>3.5185837720205682E-3</c:v>
                </c:pt>
                <c:pt idx="26">
                  <c:v>3.9584067435231391E-3</c:v>
                </c:pt>
                <c:pt idx="27">
                  <c:v>4.3982297150257097E-3</c:v>
                </c:pt>
                <c:pt idx="28">
                  <c:v>8.7964594300514194E-3</c:v>
                </c:pt>
                <c:pt idx="29">
                  <c:v>1.3194689145077132E-2</c:v>
                </c:pt>
                <c:pt idx="30">
                  <c:v>1.7592918860102839E-2</c:v>
                </c:pt>
                <c:pt idx="31">
                  <c:v>2.1991148575128551E-2</c:v>
                </c:pt>
                <c:pt idx="32">
                  <c:v>2.6389378290154263E-2</c:v>
                </c:pt>
                <c:pt idx="33">
                  <c:v>3.0787608005179972E-2</c:v>
                </c:pt>
                <c:pt idx="34">
                  <c:v>3.5185837720205677E-2</c:v>
                </c:pt>
                <c:pt idx="35">
                  <c:v>3.9584067435231393E-2</c:v>
                </c:pt>
                <c:pt idx="36">
                  <c:v>4.3982297150257102E-2</c:v>
                </c:pt>
                <c:pt idx="37">
                  <c:v>8.7964594300514204E-2</c:v>
                </c:pt>
                <c:pt idx="38">
                  <c:v>0.13194689145077129</c:v>
                </c:pt>
                <c:pt idx="39">
                  <c:v>0.17592918860102841</c:v>
                </c:pt>
                <c:pt idx="40">
                  <c:v>0.2199114857512855</c:v>
                </c:pt>
                <c:pt idx="41">
                  <c:v>0.26389378290154258</c:v>
                </c:pt>
                <c:pt idx="42">
                  <c:v>0.30787608005179973</c:v>
                </c:pt>
                <c:pt idx="43">
                  <c:v>0.35185837720205682</c:v>
                </c:pt>
                <c:pt idx="44">
                  <c:v>0.39584067435231396</c:v>
                </c:pt>
                <c:pt idx="45">
                  <c:v>0.43982297150257099</c:v>
                </c:pt>
                <c:pt idx="46">
                  <c:v>0.87964594300514198</c:v>
                </c:pt>
                <c:pt idx="47">
                  <c:v>1.3194689145077132</c:v>
                </c:pt>
                <c:pt idx="48">
                  <c:v>1.759291886010284</c:v>
                </c:pt>
                <c:pt idx="49">
                  <c:v>2.1991148575128547</c:v>
                </c:pt>
                <c:pt idx="50">
                  <c:v>2.6389378290154264</c:v>
                </c:pt>
                <c:pt idx="51">
                  <c:v>3.0787608005179967</c:v>
                </c:pt>
                <c:pt idx="52">
                  <c:v>3.5185837720205679</c:v>
                </c:pt>
                <c:pt idx="53">
                  <c:v>3.9584067435231391</c:v>
                </c:pt>
                <c:pt idx="54">
                  <c:v>4.3982297150257095</c:v>
                </c:pt>
                <c:pt idx="55">
                  <c:v>8.7964594300514189</c:v>
                </c:pt>
                <c:pt idx="56">
                  <c:v>13.194689145077129</c:v>
                </c:pt>
                <c:pt idx="57">
                  <c:v>17.592918860102838</c:v>
                </c:pt>
                <c:pt idx="58">
                  <c:v>21.991148575128552</c:v>
                </c:pt>
                <c:pt idx="59">
                  <c:v>26.389378290154259</c:v>
                </c:pt>
                <c:pt idx="60">
                  <c:v>30.787608005179973</c:v>
                </c:pt>
                <c:pt idx="61">
                  <c:v>35.185837720205676</c:v>
                </c:pt>
                <c:pt idx="62">
                  <c:v>39.58406743523139</c:v>
                </c:pt>
                <c:pt idx="63">
                  <c:v>43.982297150257104</c:v>
                </c:pt>
                <c:pt idx="64">
                  <c:v>87.964594300514207</c:v>
                </c:pt>
                <c:pt idx="65">
                  <c:v>131.94689145077129</c:v>
                </c:pt>
                <c:pt idx="66">
                  <c:v>175.92918860102841</c:v>
                </c:pt>
                <c:pt idx="67">
                  <c:v>219.91148575128548</c:v>
                </c:pt>
                <c:pt idx="68">
                  <c:v>263.89378290154258</c:v>
                </c:pt>
                <c:pt idx="69">
                  <c:v>307.8760800517997</c:v>
                </c:pt>
                <c:pt idx="70">
                  <c:v>351.85837720205683</c:v>
                </c:pt>
                <c:pt idx="71">
                  <c:v>395.8406743523139</c:v>
                </c:pt>
                <c:pt idx="72">
                  <c:v>439.82297150257097</c:v>
                </c:pt>
                <c:pt idx="73">
                  <c:v>879.64594300514193</c:v>
                </c:pt>
                <c:pt idx="74">
                  <c:v>1319.468914507713</c:v>
                </c:pt>
                <c:pt idx="75">
                  <c:v>1759.2918860102839</c:v>
                </c:pt>
                <c:pt idx="76">
                  <c:v>2199.114857512855</c:v>
                </c:pt>
                <c:pt idx="77">
                  <c:v>2638.9378290154259</c:v>
                </c:pt>
                <c:pt idx="78">
                  <c:v>3078.7608005179968</c:v>
                </c:pt>
                <c:pt idx="79">
                  <c:v>3518.5837720205677</c:v>
                </c:pt>
                <c:pt idx="80">
                  <c:v>3958.4067435231391</c:v>
                </c:pt>
                <c:pt idx="81">
                  <c:v>4398.22971502571</c:v>
                </c:pt>
              </c:numCache>
            </c:numRef>
          </c:yVal>
          <c:smooth val="0"/>
          <c:extLst>
            <c:ext xmlns:c16="http://schemas.microsoft.com/office/drawing/2014/chart" uri="{C3380CC4-5D6E-409C-BE32-E72D297353CC}">
              <c16:uniqueId val="{0000000E-2C1F-4E51-A710-FAC99238261E}"/>
            </c:ext>
          </c:extLst>
        </c:ser>
        <c:ser>
          <c:idx val="4"/>
          <c:order val="11"/>
          <c:tx>
            <c:strRef>
              <c:f>'Capacitor Impedance'!$AM$3</c:f>
              <c:strCache>
                <c:ptCount val="1"/>
                <c:pt idx="0">
                  <c:v>402, 0.4nH</c:v>
                </c:pt>
              </c:strCache>
            </c:strRef>
          </c:tx>
          <c:spPr>
            <a:ln w="25400" cap="rnd">
              <a:solidFill>
                <a:schemeClr val="accent5"/>
              </a:solidFill>
              <a:prstDash val="sysDash"/>
              <a:round/>
            </a:ln>
            <a:effectLst/>
          </c:spPr>
          <c:marker>
            <c:symbol val="none"/>
          </c:marker>
          <c:xVal>
            <c:numRef>
              <c:f>'Capacitor Impedance'!$Q$6:$Q$87</c:f>
              <c:numCache>
                <c:formatCode>#,##0</c:formatCode>
                <c:ptCount val="82"/>
                <c:pt idx="0">
                  <c:v>1</c:v>
                </c:pt>
                <c:pt idx="1">
                  <c:v>2</c:v>
                </c:pt>
                <c:pt idx="2">
                  <c:v>3</c:v>
                </c:pt>
                <c:pt idx="3">
                  <c:v>4</c:v>
                </c:pt>
                <c:pt idx="4">
                  <c:v>5</c:v>
                </c:pt>
                <c:pt idx="5">
                  <c:v>6</c:v>
                </c:pt>
                <c:pt idx="6">
                  <c:v>7</c:v>
                </c:pt>
                <c:pt idx="7">
                  <c:v>8</c:v>
                </c:pt>
                <c:pt idx="8">
                  <c:v>9</c:v>
                </c:pt>
                <c:pt idx="9">
                  <c:v>10</c:v>
                </c:pt>
                <c:pt idx="10">
                  <c:v>20</c:v>
                </c:pt>
                <c:pt idx="11">
                  <c:v>30</c:v>
                </c:pt>
                <c:pt idx="12">
                  <c:v>40</c:v>
                </c:pt>
                <c:pt idx="13">
                  <c:v>50</c:v>
                </c:pt>
                <c:pt idx="14">
                  <c:v>60</c:v>
                </c:pt>
                <c:pt idx="15">
                  <c:v>70</c:v>
                </c:pt>
                <c:pt idx="16">
                  <c:v>80</c:v>
                </c:pt>
                <c:pt idx="17">
                  <c:v>90</c:v>
                </c:pt>
                <c:pt idx="18">
                  <c:v>100</c:v>
                </c:pt>
                <c:pt idx="19">
                  <c:v>200</c:v>
                </c:pt>
                <c:pt idx="20">
                  <c:v>300</c:v>
                </c:pt>
                <c:pt idx="21">
                  <c:v>400</c:v>
                </c:pt>
                <c:pt idx="22">
                  <c:v>500</c:v>
                </c:pt>
                <c:pt idx="23">
                  <c:v>600</c:v>
                </c:pt>
                <c:pt idx="24">
                  <c:v>700</c:v>
                </c:pt>
                <c:pt idx="25">
                  <c:v>800</c:v>
                </c:pt>
                <c:pt idx="26">
                  <c:v>900</c:v>
                </c:pt>
                <c:pt idx="27">
                  <c:v>1000</c:v>
                </c:pt>
                <c:pt idx="28">
                  <c:v>2000</c:v>
                </c:pt>
                <c:pt idx="29">
                  <c:v>3000</c:v>
                </c:pt>
                <c:pt idx="30">
                  <c:v>4000</c:v>
                </c:pt>
                <c:pt idx="31">
                  <c:v>5000</c:v>
                </c:pt>
                <c:pt idx="32">
                  <c:v>6000</c:v>
                </c:pt>
                <c:pt idx="33">
                  <c:v>7000</c:v>
                </c:pt>
                <c:pt idx="34">
                  <c:v>8000</c:v>
                </c:pt>
                <c:pt idx="35">
                  <c:v>9000</c:v>
                </c:pt>
                <c:pt idx="36">
                  <c:v>10000</c:v>
                </c:pt>
                <c:pt idx="37">
                  <c:v>20000</c:v>
                </c:pt>
                <c:pt idx="38">
                  <c:v>30000</c:v>
                </c:pt>
                <c:pt idx="39">
                  <c:v>40000</c:v>
                </c:pt>
                <c:pt idx="40">
                  <c:v>50000</c:v>
                </c:pt>
                <c:pt idx="41">
                  <c:v>60000</c:v>
                </c:pt>
                <c:pt idx="42">
                  <c:v>70000</c:v>
                </c:pt>
                <c:pt idx="43">
                  <c:v>80000</c:v>
                </c:pt>
                <c:pt idx="44">
                  <c:v>90000</c:v>
                </c:pt>
                <c:pt idx="45">
                  <c:v>100000</c:v>
                </c:pt>
                <c:pt idx="46">
                  <c:v>200000</c:v>
                </c:pt>
                <c:pt idx="47">
                  <c:v>300000</c:v>
                </c:pt>
                <c:pt idx="48">
                  <c:v>400000</c:v>
                </c:pt>
                <c:pt idx="49">
                  <c:v>500000</c:v>
                </c:pt>
                <c:pt idx="50">
                  <c:v>600000</c:v>
                </c:pt>
                <c:pt idx="51">
                  <c:v>700000</c:v>
                </c:pt>
                <c:pt idx="52">
                  <c:v>800000</c:v>
                </c:pt>
                <c:pt idx="53">
                  <c:v>900000</c:v>
                </c:pt>
                <c:pt idx="54">
                  <c:v>1000000</c:v>
                </c:pt>
                <c:pt idx="55">
                  <c:v>2000000</c:v>
                </c:pt>
                <c:pt idx="56">
                  <c:v>3000000</c:v>
                </c:pt>
                <c:pt idx="57">
                  <c:v>4000000</c:v>
                </c:pt>
                <c:pt idx="58">
                  <c:v>5000000</c:v>
                </c:pt>
                <c:pt idx="59">
                  <c:v>6000000</c:v>
                </c:pt>
                <c:pt idx="60">
                  <c:v>7000000</c:v>
                </c:pt>
                <c:pt idx="61">
                  <c:v>8000000</c:v>
                </c:pt>
                <c:pt idx="62">
                  <c:v>9000000</c:v>
                </c:pt>
                <c:pt idx="63">
                  <c:v>10000000</c:v>
                </c:pt>
                <c:pt idx="64">
                  <c:v>20000000</c:v>
                </c:pt>
                <c:pt idx="65">
                  <c:v>30000000</c:v>
                </c:pt>
                <c:pt idx="66">
                  <c:v>40000000</c:v>
                </c:pt>
                <c:pt idx="67">
                  <c:v>50000000</c:v>
                </c:pt>
                <c:pt idx="68">
                  <c:v>60000000</c:v>
                </c:pt>
                <c:pt idx="69">
                  <c:v>70000000</c:v>
                </c:pt>
                <c:pt idx="70">
                  <c:v>80000000</c:v>
                </c:pt>
                <c:pt idx="71">
                  <c:v>90000000</c:v>
                </c:pt>
                <c:pt idx="72">
                  <c:v>100000000</c:v>
                </c:pt>
                <c:pt idx="73">
                  <c:v>200000000</c:v>
                </c:pt>
                <c:pt idx="74">
                  <c:v>300000000</c:v>
                </c:pt>
                <c:pt idx="75">
                  <c:v>400000000</c:v>
                </c:pt>
                <c:pt idx="76">
                  <c:v>500000000</c:v>
                </c:pt>
                <c:pt idx="77">
                  <c:v>600000000</c:v>
                </c:pt>
                <c:pt idx="78">
                  <c:v>700000000</c:v>
                </c:pt>
                <c:pt idx="79">
                  <c:v>800000000</c:v>
                </c:pt>
                <c:pt idx="80">
                  <c:v>900000000</c:v>
                </c:pt>
                <c:pt idx="81">
                  <c:v>1000000000</c:v>
                </c:pt>
              </c:numCache>
            </c:numRef>
          </c:xVal>
          <c:yVal>
            <c:numRef>
              <c:f>'Capacitor Impedance'!$AM$6:$AM$87</c:f>
              <c:numCache>
                <c:formatCode>0.0000000000</c:formatCode>
                <c:ptCount val="82"/>
                <c:pt idx="0">
                  <c:v>3.7699111843077517E-6</c:v>
                </c:pt>
                <c:pt idx="1">
                  <c:v>7.5398223686155033E-6</c:v>
                </c:pt>
                <c:pt idx="2">
                  <c:v>1.1309733552923255E-5</c:v>
                </c:pt>
                <c:pt idx="3">
                  <c:v>1.5079644737231007E-5</c:v>
                </c:pt>
                <c:pt idx="4">
                  <c:v>1.8849555921538758E-5</c:v>
                </c:pt>
                <c:pt idx="5">
                  <c:v>2.261946710584651E-5</c:v>
                </c:pt>
                <c:pt idx="6">
                  <c:v>2.6389378290154262E-5</c:v>
                </c:pt>
                <c:pt idx="7">
                  <c:v>3.0159289474462013E-5</c:v>
                </c:pt>
                <c:pt idx="8">
                  <c:v>3.3929200658769765E-5</c:v>
                </c:pt>
                <c:pt idx="9">
                  <c:v>3.7699111843077517E-5</c:v>
                </c:pt>
                <c:pt idx="10">
                  <c:v>7.5398223686155033E-5</c:v>
                </c:pt>
                <c:pt idx="11">
                  <c:v>1.1309733552923255E-4</c:v>
                </c:pt>
                <c:pt idx="12">
                  <c:v>1.5079644737231007E-4</c:v>
                </c:pt>
                <c:pt idx="13">
                  <c:v>1.884955592153876E-4</c:v>
                </c:pt>
                <c:pt idx="14">
                  <c:v>2.261946710584651E-4</c:v>
                </c:pt>
                <c:pt idx="15">
                  <c:v>2.638937829015426E-4</c:v>
                </c:pt>
                <c:pt idx="16">
                  <c:v>3.0159289474462013E-4</c:v>
                </c:pt>
                <c:pt idx="17">
                  <c:v>3.3929200658769766E-4</c:v>
                </c:pt>
                <c:pt idx="18">
                  <c:v>3.7699111843077519E-4</c:v>
                </c:pt>
                <c:pt idx="19">
                  <c:v>7.5398223686155038E-4</c:v>
                </c:pt>
                <c:pt idx="20">
                  <c:v>1.1309733552923255E-3</c:v>
                </c:pt>
                <c:pt idx="21">
                  <c:v>1.5079644737231008E-3</c:v>
                </c:pt>
                <c:pt idx="22">
                  <c:v>1.8849555921538759E-3</c:v>
                </c:pt>
                <c:pt idx="23">
                  <c:v>2.2619467105846509E-3</c:v>
                </c:pt>
                <c:pt idx="24">
                  <c:v>2.6389378290154258E-3</c:v>
                </c:pt>
                <c:pt idx="25">
                  <c:v>3.0159289474462015E-3</c:v>
                </c:pt>
                <c:pt idx="26">
                  <c:v>3.3929200658769764E-3</c:v>
                </c:pt>
                <c:pt idx="27">
                  <c:v>3.7699111843077517E-3</c:v>
                </c:pt>
                <c:pt idx="28">
                  <c:v>7.5398223686155034E-3</c:v>
                </c:pt>
                <c:pt idx="29">
                  <c:v>1.1309733552923255E-2</c:v>
                </c:pt>
                <c:pt idx="30">
                  <c:v>1.5079644737231007E-2</c:v>
                </c:pt>
                <c:pt idx="31">
                  <c:v>1.8849555921538759E-2</c:v>
                </c:pt>
                <c:pt idx="32">
                  <c:v>2.2619467105846509E-2</c:v>
                </c:pt>
                <c:pt idx="33">
                  <c:v>2.6389378290154263E-2</c:v>
                </c:pt>
                <c:pt idx="34">
                  <c:v>3.0159289474462014E-2</c:v>
                </c:pt>
                <c:pt idx="35">
                  <c:v>3.3929200658769768E-2</c:v>
                </c:pt>
                <c:pt idx="36">
                  <c:v>3.7699111843077518E-2</c:v>
                </c:pt>
                <c:pt idx="37">
                  <c:v>7.5398223686155036E-2</c:v>
                </c:pt>
                <c:pt idx="38">
                  <c:v>0.11309733552923255</c:v>
                </c:pt>
                <c:pt idx="39">
                  <c:v>0.15079644737231007</c:v>
                </c:pt>
                <c:pt idx="40">
                  <c:v>0.18849555921538758</c:v>
                </c:pt>
                <c:pt idx="41">
                  <c:v>0.22619467105846511</c:v>
                </c:pt>
                <c:pt idx="42">
                  <c:v>0.26389378290154258</c:v>
                </c:pt>
                <c:pt idx="43">
                  <c:v>0.30159289474462014</c:v>
                </c:pt>
                <c:pt idx="44">
                  <c:v>0.33929200658769765</c:v>
                </c:pt>
                <c:pt idx="45">
                  <c:v>0.37699111843077515</c:v>
                </c:pt>
                <c:pt idx="46">
                  <c:v>0.7539822368615503</c:v>
                </c:pt>
                <c:pt idx="47">
                  <c:v>1.1309733552923256</c:v>
                </c:pt>
                <c:pt idx="48">
                  <c:v>1.5079644737231006</c:v>
                </c:pt>
                <c:pt idx="49">
                  <c:v>1.8849555921538759</c:v>
                </c:pt>
                <c:pt idx="50">
                  <c:v>2.2619467105846511</c:v>
                </c:pt>
                <c:pt idx="51">
                  <c:v>2.638937829015426</c:v>
                </c:pt>
                <c:pt idx="52">
                  <c:v>3.0159289474462012</c:v>
                </c:pt>
                <c:pt idx="53">
                  <c:v>3.3929200658769765</c:v>
                </c:pt>
                <c:pt idx="54">
                  <c:v>3.7699111843077517</c:v>
                </c:pt>
                <c:pt idx="55">
                  <c:v>7.5398223686155035</c:v>
                </c:pt>
                <c:pt idx="56">
                  <c:v>11.309733552923255</c:v>
                </c:pt>
                <c:pt idx="57">
                  <c:v>15.079644737231007</c:v>
                </c:pt>
                <c:pt idx="58">
                  <c:v>18.849555921538759</c:v>
                </c:pt>
                <c:pt idx="59">
                  <c:v>22.61946710584651</c:v>
                </c:pt>
                <c:pt idx="60">
                  <c:v>26.389378290154262</c:v>
                </c:pt>
                <c:pt idx="61">
                  <c:v>30.159289474462014</c:v>
                </c:pt>
                <c:pt idx="62">
                  <c:v>33.929200658769759</c:v>
                </c:pt>
                <c:pt idx="63">
                  <c:v>37.699111843077517</c:v>
                </c:pt>
                <c:pt idx="64">
                  <c:v>75.398223686155035</c:v>
                </c:pt>
                <c:pt idx="65">
                  <c:v>113.09733552923255</c:v>
                </c:pt>
                <c:pt idx="66">
                  <c:v>150.79644737231007</c:v>
                </c:pt>
                <c:pt idx="67">
                  <c:v>188.49555921538757</c:v>
                </c:pt>
                <c:pt idx="68">
                  <c:v>226.1946710584651</c:v>
                </c:pt>
                <c:pt idx="69">
                  <c:v>263.89378290154264</c:v>
                </c:pt>
                <c:pt idx="70">
                  <c:v>301.59289474462014</c:v>
                </c:pt>
                <c:pt idx="71">
                  <c:v>339.29200658769764</c:v>
                </c:pt>
                <c:pt idx="72">
                  <c:v>376.99111843077515</c:v>
                </c:pt>
                <c:pt idx="73">
                  <c:v>753.98223686155029</c:v>
                </c:pt>
                <c:pt idx="74">
                  <c:v>1130.9733552923256</c:v>
                </c:pt>
                <c:pt idx="75">
                  <c:v>1507.9644737231006</c:v>
                </c:pt>
                <c:pt idx="76">
                  <c:v>1884.9555921538758</c:v>
                </c:pt>
                <c:pt idx="77">
                  <c:v>2261.9467105846511</c:v>
                </c:pt>
                <c:pt idx="78">
                  <c:v>2638.9378290154259</c:v>
                </c:pt>
                <c:pt idx="79">
                  <c:v>3015.9289474462012</c:v>
                </c:pt>
                <c:pt idx="80">
                  <c:v>3392.9200658769769</c:v>
                </c:pt>
                <c:pt idx="81">
                  <c:v>3769.9111843077517</c:v>
                </c:pt>
              </c:numCache>
            </c:numRef>
          </c:yVal>
          <c:smooth val="0"/>
          <c:extLst>
            <c:ext xmlns:c16="http://schemas.microsoft.com/office/drawing/2014/chart" uri="{C3380CC4-5D6E-409C-BE32-E72D297353CC}">
              <c16:uniqueId val="{00000010-2C1F-4E51-A710-FAC99238261E}"/>
            </c:ext>
          </c:extLst>
        </c:ser>
        <c:ser>
          <c:idx val="5"/>
          <c:order val="12"/>
          <c:tx>
            <c:strRef>
              <c:f>'Capacitor Impedance'!$AR$3</c:f>
              <c:strCache>
                <c:ptCount val="1"/>
                <c:pt idx="0">
                  <c:v>201, 0.1nH</c:v>
                </c:pt>
              </c:strCache>
            </c:strRef>
          </c:tx>
          <c:spPr>
            <a:ln w="25400" cap="rnd">
              <a:solidFill>
                <a:schemeClr val="accent6"/>
              </a:solidFill>
              <a:prstDash val="sysDash"/>
              <a:round/>
            </a:ln>
            <a:effectLst/>
          </c:spPr>
          <c:marker>
            <c:symbol val="none"/>
          </c:marker>
          <c:xVal>
            <c:numRef>
              <c:f>'Capacitor Impedance'!$Q$6:$Q$87</c:f>
              <c:numCache>
                <c:formatCode>#,##0</c:formatCode>
                <c:ptCount val="82"/>
                <c:pt idx="0">
                  <c:v>1</c:v>
                </c:pt>
                <c:pt idx="1">
                  <c:v>2</c:v>
                </c:pt>
                <c:pt idx="2">
                  <c:v>3</c:v>
                </c:pt>
                <c:pt idx="3">
                  <c:v>4</c:v>
                </c:pt>
                <c:pt idx="4">
                  <c:v>5</c:v>
                </c:pt>
                <c:pt idx="5">
                  <c:v>6</c:v>
                </c:pt>
                <c:pt idx="6">
                  <c:v>7</c:v>
                </c:pt>
                <c:pt idx="7">
                  <c:v>8</c:v>
                </c:pt>
                <c:pt idx="8">
                  <c:v>9</c:v>
                </c:pt>
                <c:pt idx="9">
                  <c:v>10</c:v>
                </c:pt>
                <c:pt idx="10">
                  <c:v>20</c:v>
                </c:pt>
                <c:pt idx="11">
                  <c:v>30</c:v>
                </c:pt>
                <c:pt idx="12">
                  <c:v>40</c:v>
                </c:pt>
                <c:pt idx="13">
                  <c:v>50</c:v>
                </c:pt>
                <c:pt idx="14">
                  <c:v>60</c:v>
                </c:pt>
                <c:pt idx="15">
                  <c:v>70</c:v>
                </c:pt>
                <c:pt idx="16">
                  <c:v>80</c:v>
                </c:pt>
                <c:pt idx="17">
                  <c:v>90</c:v>
                </c:pt>
                <c:pt idx="18">
                  <c:v>100</c:v>
                </c:pt>
                <c:pt idx="19">
                  <c:v>200</c:v>
                </c:pt>
                <c:pt idx="20">
                  <c:v>300</c:v>
                </c:pt>
                <c:pt idx="21">
                  <c:v>400</c:v>
                </c:pt>
                <c:pt idx="22">
                  <c:v>500</c:v>
                </c:pt>
                <c:pt idx="23">
                  <c:v>600</c:v>
                </c:pt>
                <c:pt idx="24">
                  <c:v>700</c:v>
                </c:pt>
                <c:pt idx="25">
                  <c:v>800</c:v>
                </c:pt>
                <c:pt idx="26">
                  <c:v>900</c:v>
                </c:pt>
                <c:pt idx="27">
                  <c:v>1000</c:v>
                </c:pt>
                <c:pt idx="28">
                  <c:v>2000</c:v>
                </c:pt>
                <c:pt idx="29">
                  <c:v>3000</c:v>
                </c:pt>
                <c:pt idx="30">
                  <c:v>4000</c:v>
                </c:pt>
                <c:pt idx="31">
                  <c:v>5000</c:v>
                </c:pt>
                <c:pt idx="32">
                  <c:v>6000</c:v>
                </c:pt>
                <c:pt idx="33">
                  <c:v>7000</c:v>
                </c:pt>
                <c:pt idx="34">
                  <c:v>8000</c:v>
                </c:pt>
                <c:pt idx="35">
                  <c:v>9000</c:v>
                </c:pt>
                <c:pt idx="36">
                  <c:v>10000</c:v>
                </c:pt>
                <c:pt idx="37">
                  <c:v>20000</c:v>
                </c:pt>
                <c:pt idx="38">
                  <c:v>30000</c:v>
                </c:pt>
                <c:pt idx="39">
                  <c:v>40000</c:v>
                </c:pt>
                <c:pt idx="40">
                  <c:v>50000</c:v>
                </c:pt>
                <c:pt idx="41">
                  <c:v>60000</c:v>
                </c:pt>
                <c:pt idx="42">
                  <c:v>70000</c:v>
                </c:pt>
                <c:pt idx="43">
                  <c:v>80000</c:v>
                </c:pt>
                <c:pt idx="44">
                  <c:v>90000</c:v>
                </c:pt>
                <c:pt idx="45">
                  <c:v>100000</c:v>
                </c:pt>
                <c:pt idx="46">
                  <c:v>200000</c:v>
                </c:pt>
                <c:pt idx="47">
                  <c:v>300000</c:v>
                </c:pt>
                <c:pt idx="48">
                  <c:v>400000</c:v>
                </c:pt>
                <c:pt idx="49">
                  <c:v>500000</c:v>
                </c:pt>
                <c:pt idx="50">
                  <c:v>600000</c:v>
                </c:pt>
                <c:pt idx="51">
                  <c:v>700000</c:v>
                </c:pt>
                <c:pt idx="52">
                  <c:v>800000</c:v>
                </c:pt>
                <c:pt idx="53">
                  <c:v>900000</c:v>
                </c:pt>
                <c:pt idx="54">
                  <c:v>1000000</c:v>
                </c:pt>
                <c:pt idx="55">
                  <c:v>2000000</c:v>
                </c:pt>
                <c:pt idx="56">
                  <c:v>3000000</c:v>
                </c:pt>
                <c:pt idx="57">
                  <c:v>4000000</c:v>
                </c:pt>
                <c:pt idx="58">
                  <c:v>5000000</c:v>
                </c:pt>
                <c:pt idx="59">
                  <c:v>6000000</c:v>
                </c:pt>
                <c:pt idx="60">
                  <c:v>7000000</c:v>
                </c:pt>
                <c:pt idx="61">
                  <c:v>8000000</c:v>
                </c:pt>
                <c:pt idx="62">
                  <c:v>9000000</c:v>
                </c:pt>
                <c:pt idx="63">
                  <c:v>10000000</c:v>
                </c:pt>
                <c:pt idx="64">
                  <c:v>20000000</c:v>
                </c:pt>
                <c:pt idx="65">
                  <c:v>30000000</c:v>
                </c:pt>
                <c:pt idx="66">
                  <c:v>40000000</c:v>
                </c:pt>
                <c:pt idx="67">
                  <c:v>50000000</c:v>
                </c:pt>
                <c:pt idx="68">
                  <c:v>60000000</c:v>
                </c:pt>
                <c:pt idx="69">
                  <c:v>70000000</c:v>
                </c:pt>
                <c:pt idx="70">
                  <c:v>80000000</c:v>
                </c:pt>
                <c:pt idx="71">
                  <c:v>90000000</c:v>
                </c:pt>
                <c:pt idx="72">
                  <c:v>100000000</c:v>
                </c:pt>
                <c:pt idx="73">
                  <c:v>200000000</c:v>
                </c:pt>
                <c:pt idx="74">
                  <c:v>300000000</c:v>
                </c:pt>
                <c:pt idx="75">
                  <c:v>400000000</c:v>
                </c:pt>
                <c:pt idx="76">
                  <c:v>500000000</c:v>
                </c:pt>
                <c:pt idx="77">
                  <c:v>600000000</c:v>
                </c:pt>
                <c:pt idx="78">
                  <c:v>700000000</c:v>
                </c:pt>
                <c:pt idx="79">
                  <c:v>800000000</c:v>
                </c:pt>
                <c:pt idx="80">
                  <c:v>900000000</c:v>
                </c:pt>
                <c:pt idx="81">
                  <c:v>1000000000</c:v>
                </c:pt>
              </c:numCache>
            </c:numRef>
          </c:xVal>
          <c:yVal>
            <c:numRef>
              <c:f>'Capacitor Impedance'!$AR$6:$AR$87</c:f>
              <c:numCache>
                <c:formatCode>0.0000000000</c:formatCode>
                <c:ptCount val="82"/>
                <c:pt idx="0">
                  <c:v>2.5132741228718346E-6</c:v>
                </c:pt>
                <c:pt idx="1">
                  <c:v>5.0265482457436692E-6</c:v>
                </c:pt>
                <c:pt idx="2">
                  <c:v>7.539822368615505E-6</c:v>
                </c:pt>
                <c:pt idx="3">
                  <c:v>1.0053096491487338E-5</c:v>
                </c:pt>
                <c:pt idx="4">
                  <c:v>1.2566370614359175E-5</c:v>
                </c:pt>
                <c:pt idx="5">
                  <c:v>1.507964473723101E-5</c:v>
                </c:pt>
                <c:pt idx="6">
                  <c:v>1.7592918860102847E-5</c:v>
                </c:pt>
                <c:pt idx="7">
                  <c:v>2.0106192982974677E-5</c:v>
                </c:pt>
                <c:pt idx="8">
                  <c:v>2.2619467105846513E-5</c:v>
                </c:pt>
                <c:pt idx="9">
                  <c:v>2.513274122871835E-5</c:v>
                </c:pt>
                <c:pt idx="10">
                  <c:v>5.02654824574367E-5</c:v>
                </c:pt>
                <c:pt idx="11">
                  <c:v>7.5398223686155033E-5</c:v>
                </c:pt>
                <c:pt idx="12">
                  <c:v>1.005309649148734E-4</c:v>
                </c:pt>
                <c:pt idx="13">
                  <c:v>1.2566370614359174E-4</c:v>
                </c:pt>
                <c:pt idx="14">
                  <c:v>1.5079644737231007E-4</c:v>
                </c:pt>
                <c:pt idx="15">
                  <c:v>1.7592918860102845E-4</c:v>
                </c:pt>
                <c:pt idx="16">
                  <c:v>2.010619298297468E-4</c:v>
                </c:pt>
                <c:pt idx="17">
                  <c:v>2.2619467105846515E-4</c:v>
                </c:pt>
                <c:pt idx="18">
                  <c:v>2.5132741228718348E-4</c:v>
                </c:pt>
                <c:pt idx="19">
                  <c:v>5.0265482457436696E-4</c:v>
                </c:pt>
                <c:pt idx="20">
                  <c:v>7.5398223686155049E-4</c:v>
                </c:pt>
                <c:pt idx="21">
                  <c:v>1.0053096491487339E-3</c:v>
                </c:pt>
                <c:pt idx="22">
                  <c:v>1.2566370614359172E-3</c:v>
                </c:pt>
                <c:pt idx="23">
                  <c:v>1.507964473723101E-3</c:v>
                </c:pt>
                <c:pt idx="24">
                  <c:v>1.7592918860102843E-3</c:v>
                </c:pt>
                <c:pt idx="25">
                  <c:v>2.0106192982974678E-3</c:v>
                </c:pt>
                <c:pt idx="26">
                  <c:v>2.2619467105846514E-3</c:v>
                </c:pt>
                <c:pt idx="27">
                  <c:v>2.5132741228718345E-3</c:v>
                </c:pt>
                <c:pt idx="28">
                  <c:v>5.0265482457436689E-3</c:v>
                </c:pt>
                <c:pt idx="29">
                  <c:v>7.5398223686155052E-3</c:v>
                </c:pt>
                <c:pt idx="30">
                  <c:v>1.0053096491487338E-2</c:v>
                </c:pt>
                <c:pt idx="31">
                  <c:v>1.2566370614359175E-2</c:v>
                </c:pt>
                <c:pt idx="32">
                  <c:v>1.507964473723101E-2</c:v>
                </c:pt>
                <c:pt idx="33">
                  <c:v>1.7592918860102842E-2</c:v>
                </c:pt>
                <c:pt idx="34">
                  <c:v>2.0106192982974676E-2</c:v>
                </c:pt>
                <c:pt idx="35">
                  <c:v>2.2619467105846516E-2</c:v>
                </c:pt>
                <c:pt idx="36">
                  <c:v>2.513274122871835E-2</c:v>
                </c:pt>
                <c:pt idx="37">
                  <c:v>5.02654824574367E-2</c:v>
                </c:pt>
                <c:pt idx="38">
                  <c:v>7.539822368615505E-2</c:v>
                </c:pt>
                <c:pt idx="39">
                  <c:v>0.1005309649148734</c:v>
                </c:pt>
                <c:pt idx="40">
                  <c:v>0.12566370614359174</c:v>
                </c:pt>
                <c:pt idx="41">
                  <c:v>0.1507964473723101</c:v>
                </c:pt>
                <c:pt idx="42">
                  <c:v>0.17592918860102844</c:v>
                </c:pt>
                <c:pt idx="43">
                  <c:v>0.2010619298297468</c:v>
                </c:pt>
                <c:pt idx="44">
                  <c:v>0.22619467105846516</c:v>
                </c:pt>
                <c:pt idx="45">
                  <c:v>0.25132741228718347</c:v>
                </c:pt>
                <c:pt idx="46">
                  <c:v>0.50265482457436694</c:v>
                </c:pt>
                <c:pt idx="47">
                  <c:v>0.75398223686155053</c:v>
                </c:pt>
                <c:pt idx="48">
                  <c:v>1.0053096491487339</c:v>
                </c:pt>
                <c:pt idx="49">
                  <c:v>1.2566370614359175</c:v>
                </c:pt>
                <c:pt idx="50">
                  <c:v>1.5079644737231011</c:v>
                </c:pt>
                <c:pt idx="51">
                  <c:v>1.7592918860102844</c:v>
                </c:pt>
                <c:pt idx="52">
                  <c:v>2.0106192982974678</c:v>
                </c:pt>
                <c:pt idx="53">
                  <c:v>2.2619467105846516</c:v>
                </c:pt>
                <c:pt idx="54">
                  <c:v>2.5132741228718349</c:v>
                </c:pt>
                <c:pt idx="55">
                  <c:v>5.0265482457436699</c:v>
                </c:pt>
                <c:pt idx="56">
                  <c:v>7.5398223686155053</c:v>
                </c:pt>
                <c:pt idx="57">
                  <c:v>10.05309649148734</c:v>
                </c:pt>
                <c:pt idx="58">
                  <c:v>12.566370614359174</c:v>
                </c:pt>
                <c:pt idx="59">
                  <c:v>15.079644737231011</c:v>
                </c:pt>
                <c:pt idx="60">
                  <c:v>17.592918860102845</c:v>
                </c:pt>
                <c:pt idx="61">
                  <c:v>20.106192982974679</c:v>
                </c:pt>
                <c:pt idx="62">
                  <c:v>22.619467105846514</c:v>
                </c:pt>
                <c:pt idx="63">
                  <c:v>25.132741228718348</c:v>
                </c:pt>
                <c:pt idx="64">
                  <c:v>50.265482457436697</c:v>
                </c:pt>
                <c:pt idx="65">
                  <c:v>75.398223686155049</c:v>
                </c:pt>
                <c:pt idx="66">
                  <c:v>100.53096491487339</c:v>
                </c:pt>
                <c:pt idx="67">
                  <c:v>125.66370614359174</c:v>
                </c:pt>
                <c:pt idx="68">
                  <c:v>150.7964473723101</c:v>
                </c:pt>
                <c:pt idx="69">
                  <c:v>175.92918860102844</c:v>
                </c:pt>
                <c:pt idx="70">
                  <c:v>201.06192982974679</c:v>
                </c:pt>
                <c:pt idx="71">
                  <c:v>226.19467105846513</c:v>
                </c:pt>
                <c:pt idx="72">
                  <c:v>251.32741228718348</c:v>
                </c:pt>
                <c:pt idx="73">
                  <c:v>502.65482457436696</c:v>
                </c:pt>
                <c:pt idx="74">
                  <c:v>753.9822368615504</c:v>
                </c:pt>
                <c:pt idx="75">
                  <c:v>1005.3096491487339</c:v>
                </c:pt>
                <c:pt idx="76">
                  <c:v>1256.6370614359175</c:v>
                </c:pt>
                <c:pt idx="77">
                  <c:v>1507.9644737231008</c:v>
                </c:pt>
                <c:pt idx="78">
                  <c:v>1759.2918860102843</c:v>
                </c:pt>
                <c:pt idx="79">
                  <c:v>2010.6192982974678</c:v>
                </c:pt>
                <c:pt idx="80">
                  <c:v>2261.9467105846516</c:v>
                </c:pt>
                <c:pt idx="81">
                  <c:v>2513.2741228718351</c:v>
                </c:pt>
              </c:numCache>
            </c:numRef>
          </c:yVal>
          <c:smooth val="0"/>
          <c:extLst>
            <c:ext xmlns:c16="http://schemas.microsoft.com/office/drawing/2014/chart" uri="{C3380CC4-5D6E-409C-BE32-E72D297353CC}">
              <c16:uniqueId val="{00000012-2C1F-4E51-A710-FAC99238261E}"/>
            </c:ext>
          </c:extLst>
        </c:ser>
        <c:dLbls>
          <c:showLegendKey val="0"/>
          <c:showVal val="0"/>
          <c:showCatName val="0"/>
          <c:showSerName val="0"/>
          <c:showPercent val="0"/>
          <c:showBubbleSize val="0"/>
        </c:dLbls>
        <c:axId val="408105248"/>
        <c:axId val="408106688"/>
      </c:scatterChart>
      <c:valAx>
        <c:axId val="408105248"/>
        <c:scaling>
          <c:logBase val="10"/>
          <c:orientation val="minMax"/>
        </c:scaling>
        <c:delete val="0"/>
        <c:axPos val="b"/>
        <c:majorGridlines>
          <c:spPr>
            <a:ln w="1270" cap="flat" cmpd="sng" algn="ctr">
              <a:solidFill>
                <a:srgbClr val="000000"/>
              </a:solidFill>
              <a:prstDash val="solid"/>
              <a:round/>
            </a:ln>
            <a:effectLst/>
          </c:spPr>
        </c:majorGridlines>
        <c:minorGridlines>
          <c:spPr>
            <a:ln w="1270" cap="flat" cmpd="sng" algn="ctr">
              <a:solidFill>
                <a:schemeClr val="bg1">
                  <a:lumMod val="75000"/>
                </a:schemeClr>
              </a:solidFill>
              <a:prstDash val="solid"/>
              <a:round/>
            </a:ln>
            <a:effectLst/>
          </c:spPr>
        </c:minorGridlines>
        <c:title>
          <c:tx>
            <c:rich>
              <a:bodyPr rot="0" spcFirstLastPara="1" vertOverflow="ellipsis" vert="horz" wrap="square" anchor="ctr" anchorCtr="1"/>
              <a:lstStyle/>
              <a:p>
                <a:pPr>
                  <a:defRPr sz="1100" b="0" i="0" u="none" strike="noStrike" kern="1200" baseline="0">
                    <a:solidFill>
                      <a:srgbClr val="000000"/>
                    </a:solidFill>
                    <a:latin typeface="Arial"/>
                    <a:ea typeface="Arial"/>
                    <a:cs typeface="Arial"/>
                  </a:defRPr>
                </a:pPr>
                <a:r>
                  <a:rPr lang="en-US" sz="1100"/>
                  <a:t>Frequency (Hz)</a:t>
                </a:r>
              </a:p>
            </c:rich>
          </c:tx>
          <c:overlay val="0"/>
          <c:spPr>
            <a:noFill/>
            <a:ln>
              <a:noFill/>
            </a:ln>
            <a:effectLst/>
          </c:spPr>
          <c:txPr>
            <a:bodyPr rot="0" spcFirstLastPara="1" vertOverflow="ellipsis" vert="horz" wrap="square" anchor="ctr" anchorCtr="1"/>
            <a:lstStyle/>
            <a:p>
              <a:pPr>
                <a:defRPr sz="1100" b="0" i="0" u="none" strike="noStrike" kern="1200" baseline="0">
                  <a:solidFill>
                    <a:srgbClr val="000000"/>
                  </a:solidFill>
                  <a:latin typeface="Arial"/>
                  <a:ea typeface="Arial"/>
                  <a:cs typeface="Arial"/>
                </a:defRPr>
              </a:pPr>
              <a:endParaRPr lang="en-US"/>
            </a:p>
          </c:txPr>
        </c:title>
        <c:numFmt formatCode="[&gt;999999]0,,&quot;M&quot;;[&gt;999]#,##0,&quot;K&quot;;General" sourceLinked="0"/>
        <c:majorTickMark val="in"/>
        <c:minorTickMark val="none"/>
        <c:tickLblPos val="nextTo"/>
        <c:spPr>
          <a:noFill/>
          <a:ln w="1270" cap="flat" cmpd="sng" algn="ctr">
            <a:solidFill>
              <a:srgbClr val="000000"/>
            </a:solidFill>
            <a:prstDash val="solid"/>
            <a:round/>
          </a:ln>
          <a:effectLst/>
        </c:spPr>
        <c:txPr>
          <a:bodyPr rot="-60000000" spcFirstLastPara="1" vertOverflow="ellipsis" vert="horz" wrap="square" anchor="ctr" anchorCtr="1"/>
          <a:lstStyle/>
          <a:p>
            <a:pPr>
              <a:defRPr sz="800" b="0" i="0" u="none" strike="noStrike" kern="1200" baseline="0">
                <a:solidFill>
                  <a:srgbClr val="000000"/>
                </a:solidFill>
                <a:latin typeface="Arial"/>
                <a:ea typeface="Arial"/>
                <a:cs typeface="Arial"/>
              </a:defRPr>
            </a:pPr>
            <a:endParaRPr lang="en-US"/>
          </a:p>
        </c:txPr>
        <c:crossAx val="408106688"/>
        <c:crossesAt val="1.0000000000000004E-6"/>
        <c:crossBetween val="midCat"/>
      </c:valAx>
      <c:valAx>
        <c:axId val="408106688"/>
        <c:scaling>
          <c:logBase val="10"/>
          <c:orientation val="minMax"/>
          <c:max val="100000"/>
          <c:min val="1.0000000000000002E-3"/>
        </c:scaling>
        <c:delete val="0"/>
        <c:axPos val="l"/>
        <c:majorGridlines>
          <c:spPr>
            <a:ln w="1270" cap="flat" cmpd="sng" algn="ctr">
              <a:solidFill>
                <a:srgbClr val="000000"/>
              </a:solidFill>
              <a:prstDash val="solid"/>
              <a:round/>
            </a:ln>
            <a:effectLst/>
          </c:spPr>
        </c:majorGridlines>
        <c:minorGridlines>
          <c:spPr>
            <a:ln w="1270" cap="flat" cmpd="sng" algn="ctr">
              <a:solidFill>
                <a:schemeClr val="bg1">
                  <a:lumMod val="75000"/>
                </a:schemeClr>
              </a:solidFill>
              <a:prstDash val="solid"/>
              <a:round/>
            </a:ln>
            <a:effectLst/>
          </c:spPr>
        </c:minorGridlines>
        <c:title>
          <c:tx>
            <c:rich>
              <a:bodyPr rot="-5400000" spcFirstLastPara="1" vertOverflow="ellipsis" vert="horz" wrap="square" anchor="ctr" anchorCtr="1"/>
              <a:lstStyle/>
              <a:p>
                <a:pPr>
                  <a:defRPr sz="1100" b="0" i="0" u="none" strike="noStrike" kern="1200" baseline="0">
                    <a:solidFill>
                      <a:srgbClr val="000000"/>
                    </a:solidFill>
                    <a:latin typeface="Arial"/>
                    <a:ea typeface="Arial"/>
                    <a:cs typeface="Arial"/>
                  </a:defRPr>
                </a:pPr>
                <a:r>
                  <a:rPr lang="en-US" sz="1100"/>
                  <a:t>Impedance (m</a:t>
                </a:r>
                <a:r>
                  <a:rPr lang="el-GR" sz="1100"/>
                  <a:t>Ω)</a:t>
                </a:r>
              </a:p>
            </c:rich>
          </c:tx>
          <c:overlay val="0"/>
          <c:spPr>
            <a:noFill/>
            <a:ln>
              <a:noFill/>
            </a:ln>
            <a:effectLst/>
          </c:spPr>
          <c:txPr>
            <a:bodyPr rot="-5400000" spcFirstLastPara="1" vertOverflow="ellipsis" vert="horz" wrap="square" anchor="ctr" anchorCtr="1"/>
            <a:lstStyle/>
            <a:p>
              <a:pPr>
                <a:defRPr sz="1100" b="0" i="0" u="none" strike="noStrike" kern="1200" baseline="0">
                  <a:solidFill>
                    <a:srgbClr val="000000"/>
                  </a:solidFill>
                  <a:latin typeface="Arial"/>
                  <a:ea typeface="Arial"/>
                  <a:cs typeface="Arial"/>
                </a:defRPr>
              </a:pPr>
              <a:endParaRPr lang="en-US"/>
            </a:p>
          </c:txPr>
        </c:title>
        <c:numFmt formatCode="[&lt;1]0.###;[&gt;0.1]###,###;" sourceLinked="0"/>
        <c:majorTickMark val="in"/>
        <c:minorTickMark val="none"/>
        <c:tickLblPos val="nextTo"/>
        <c:spPr>
          <a:noFill/>
          <a:ln w="1270" cap="flat" cmpd="sng" algn="ctr">
            <a:solidFill>
              <a:srgbClr val="000000"/>
            </a:solidFill>
            <a:prstDash val="solid"/>
            <a:round/>
          </a:ln>
          <a:effectLst/>
        </c:spPr>
        <c:txPr>
          <a:bodyPr rot="-60000000" spcFirstLastPara="1" vertOverflow="ellipsis" vert="horz" wrap="square" anchor="ctr" anchorCtr="1"/>
          <a:lstStyle/>
          <a:p>
            <a:pPr>
              <a:defRPr sz="900" b="0" i="0" u="none" strike="noStrike" kern="1200" baseline="0">
                <a:solidFill>
                  <a:srgbClr val="000000"/>
                </a:solidFill>
                <a:latin typeface="Arial"/>
                <a:ea typeface="Arial"/>
                <a:cs typeface="Arial"/>
              </a:defRPr>
            </a:pPr>
            <a:endParaRPr lang="en-US"/>
          </a:p>
        </c:txPr>
        <c:crossAx val="408105248"/>
        <c:crosses val="autoZero"/>
        <c:crossBetween val="midCat"/>
      </c:valAx>
      <c:spPr>
        <a:solidFill>
          <a:srgbClr val="FFFFFF"/>
        </a:solidFill>
        <a:ln w="1270">
          <a:solidFill>
            <a:srgbClr val="000000"/>
          </a:solidFill>
          <a:prstDash val="solid"/>
        </a:ln>
        <a:effectLst/>
      </c:spPr>
    </c:plotArea>
    <c:legend>
      <c:legendPos val="l"/>
      <c:layout>
        <c:manualLayout>
          <c:xMode val="edge"/>
          <c:yMode val="edge"/>
          <c:x val="0.14420157862780814"/>
          <c:y val="0.20292385874626823"/>
          <c:w val="0.15648769655159228"/>
          <c:h val="0.56391034702359255"/>
        </c:manualLayout>
      </c:layout>
      <c:overlay val="1"/>
      <c:spPr>
        <a:solidFill>
          <a:srgbClr val="FFFFFF"/>
        </a:solidFill>
        <a:ln w="3175">
          <a:solidFill>
            <a:srgbClr val="000000"/>
          </a:solidFill>
          <a:prstDash val="solid"/>
        </a:ln>
        <a:effectLst/>
      </c:spPr>
      <c:txPr>
        <a:bodyPr rot="0" spcFirstLastPara="1" vertOverflow="ellipsis" vert="horz" wrap="square" anchor="ctr" anchorCtr="1"/>
        <a:lstStyle/>
        <a:p>
          <a:pPr>
            <a:defRPr lang="en-US" sz="800" b="0" i="0" u="none" strike="noStrike" kern="1200" baseline="0">
              <a:solidFill>
                <a:srgbClr val="000000"/>
              </a:solidFill>
              <a:latin typeface="Arial"/>
              <a:ea typeface="Arial"/>
              <a:cs typeface="Arial"/>
            </a:defRPr>
          </a:pPr>
          <a:endParaRPr lang="en-US"/>
        </a:p>
      </c:txPr>
    </c:legend>
    <c:plotVisOnly val="1"/>
    <c:dispBlanksAs val="gap"/>
    <c:showDLblsOverMax val="0"/>
    <c:extLst/>
  </c:chart>
  <c:spPr>
    <a:solidFill>
      <a:schemeClr val="bg1"/>
    </a:solidFill>
    <a:ln w="3175" cap="flat" cmpd="sng" algn="ctr">
      <a:solidFill>
        <a:srgbClr val="000000"/>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chart" Target="../charts/chart4.xml"/><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1810923</xdr:colOff>
      <xdr:row>2</xdr:row>
      <xdr:rowOff>172370</xdr:rowOff>
    </xdr:to>
    <xdr:pic>
      <xdr:nvPicPr>
        <xdr:cNvPr id="3" name="Picture 2">
          <a:extLst>
            <a:ext uri="{FF2B5EF4-FFF2-40B4-BE49-F238E27FC236}">
              <a16:creationId xmlns:a16="http://schemas.microsoft.com/office/drawing/2014/main" id="{D50B4F36-BEBE-42EE-B627-57F6300639F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420523" cy="553370"/>
        </a:xfrm>
        <a:prstGeom prst="rect">
          <a:avLst/>
        </a:prstGeom>
      </xdr:spPr>
    </xdr:pic>
    <xdr:clientData/>
  </xdr:twoCellAnchor>
  <xdr:twoCellAnchor editAs="oneCell">
    <xdr:from>
      <xdr:col>1</xdr:col>
      <xdr:colOff>2276475</xdr:colOff>
      <xdr:row>0</xdr:row>
      <xdr:rowOff>0</xdr:rowOff>
    </xdr:from>
    <xdr:to>
      <xdr:col>5</xdr:col>
      <xdr:colOff>152521</xdr:colOff>
      <xdr:row>8</xdr:row>
      <xdr:rowOff>0</xdr:rowOff>
    </xdr:to>
    <xdr:sp macro="" textlink="">
      <xdr:nvSpPr>
        <xdr:cNvPr id="2" name="TextBox 1">
          <a:extLst>
            <a:ext uri="{FF2B5EF4-FFF2-40B4-BE49-F238E27FC236}">
              <a16:creationId xmlns:a16="http://schemas.microsoft.com/office/drawing/2014/main" id="{9D519402-7793-473D-AE70-0EDF319372A2}"/>
            </a:ext>
          </a:extLst>
        </xdr:cNvPr>
        <xdr:cNvSpPr txBox="1"/>
      </xdr:nvSpPr>
      <xdr:spPr>
        <a:xfrm>
          <a:off x="2886075" y="0"/>
          <a:ext cx="3667246" cy="15430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lgn="ctr">
            <a:buFontTx/>
            <a:buNone/>
          </a:pPr>
          <a:r>
            <a:rPr lang="en-US" sz="1200" b="1"/>
            <a:t>To Start</a:t>
          </a:r>
          <a:endParaRPr lang="en-US" sz="1100">
            <a:effectLst/>
          </a:endParaRP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en-US" sz="1100" baseline="0">
              <a:solidFill>
                <a:schemeClr val="dk1"/>
              </a:solidFill>
              <a:effectLst/>
              <a:latin typeface="+mn-lt"/>
              <a:ea typeface="+mn-ea"/>
              <a:cs typeface="+mn-cs"/>
            </a:rPr>
            <a:t>Start with knowing your Input Voltage, Output Voltage, Switching Frequency, Switching Ripple (%), In-Rush Current and plug those values in.</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en-US" sz="1100">
              <a:solidFill>
                <a:schemeClr val="dk1"/>
              </a:solidFill>
              <a:effectLst/>
              <a:latin typeface="+mn-lt"/>
              <a:ea typeface="+mn-ea"/>
              <a:cs typeface="+mn-cs"/>
            </a:rPr>
            <a:t>Design</a:t>
          </a:r>
          <a:r>
            <a:rPr lang="en-US" sz="1100" baseline="0">
              <a:solidFill>
                <a:schemeClr val="dk1"/>
              </a:solidFill>
              <a:effectLst/>
              <a:latin typeface="+mn-lt"/>
              <a:ea typeface="+mn-ea"/>
              <a:cs typeface="+mn-cs"/>
            </a:rPr>
            <a:t> with or without DROOP.</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en-US" sz="1100" baseline="0">
              <a:solidFill>
                <a:schemeClr val="dk1"/>
              </a:solidFill>
              <a:effectLst/>
              <a:latin typeface="+mn-lt"/>
              <a:ea typeface="+mn-ea"/>
              <a:cs typeface="+mn-cs"/>
            </a:rPr>
            <a:t>Based on recommended values, select feedback resistors, sense resistor, output inductor, and RCOMP.</a:t>
          </a:r>
        </a:p>
        <a:p>
          <a:pPr marL="171450" indent="-171450" eaLnBrk="1" fontAlgn="auto" latinLnBrk="0" hangingPunct="1">
            <a:buFont typeface="Arial" panose="020B0604020202020204" pitchFamily="34" charset="0"/>
            <a:buChar char="•"/>
          </a:pPr>
          <a:r>
            <a:rPr lang="en-US" sz="1100" baseline="0">
              <a:effectLst/>
            </a:rPr>
            <a:t>Design your CIN and COUT network.</a:t>
          </a:r>
          <a:endParaRPr lang="en-US" sz="1100">
            <a:effectLst/>
          </a:endParaRPr>
        </a:p>
      </xdr:txBody>
    </xdr:sp>
    <xdr:clientData/>
  </xdr:twoCellAnchor>
  <xdr:twoCellAnchor editAs="oneCell">
    <xdr:from>
      <xdr:col>8</xdr:col>
      <xdr:colOff>38100</xdr:colOff>
      <xdr:row>12</xdr:row>
      <xdr:rowOff>38099</xdr:rowOff>
    </xdr:from>
    <xdr:to>
      <xdr:col>14</xdr:col>
      <xdr:colOff>47746</xdr:colOff>
      <xdr:row>19</xdr:row>
      <xdr:rowOff>161924</xdr:rowOff>
    </xdr:to>
    <xdr:sp macro="" textlink="">
      <xdr:nvSpPr>
        <xdr:cNvPr id="4" name="TextBox 3">
          <a:extLst>
            <a:ext uri="{FF2B5EF4-FFF2-40B4-BE49-F238E27FC236}">
              <a16:creationId xmlns:a16="http://schemas.microsoft.com/office/drawing/2014/main" id="{35A000CC-A9C4-493B-8BF8-0C7A7B0BCCD2}"/>
            </a:ext>
          </a:extLst>
        </xdr:cNvPr>
        <xdr:cNvSpPr txBox="1"/>
      </xdr:nvSpPr>
      <xdr:spPr>
        <a:xfrm>
          <a:off x="11687175" y="2495549"/>
          <a:ext cx="3667246" cy="17240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lgn="ctr">
            <a:buFontTx/>
            <a:buNone/>
          </a:pPr>
          <a:r>
            <a:rPr lang="en-US" sz="1200" b="1"/>
            <a:t>If using DROOP</a:t>
          </a:r>
          <a:endParaRPr lang="en-US" sz="1100">
            <a:effectLst/>
          </a:endParaRP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en-US" sz="1100" baseline="0">
              <a:solidFill>
                <a:schemeClr val="dk1"/>
              </a:solidFill>
              <a:effectLst/>
              <a:latin typeface="+mn-lt"/>
              <a:ea typeface="+mn-ea"/>
              <a:cs typeface="+mn-cs"/>
            </a:rPr>
            <a:t>The simplest way to determine DROOP(%) is to divide your peak-peak transient by 2. For example, if you design for a 4% peak-peak transient, then DROOP should be 2%.</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en-US" sz="1100" baseline="0">
              <a:solidFill>
                <a:schemeClr val="dk1"/>
              </a:solidFill>
              <a:effectLst/>
              <a:latin typeface="+mn-lt"/>
              <a:ea typeface="+mn-ea"/>
              <a:cs typeface="+mn-cs"/>
            </a:rPr>
            <a:t>Pay attention to DC output voltage over load since DROOP effectively makes DC accuracy worse for an improvement in peak-peak transient. You may need to lower DROOP a little so you don't violate your </a:t>
          </a:r>
          <a:r>
            <a:rPr lang="el-GR" sz="1100" baseline="0">
              <a:solidFill>
                <a:schemeClr val="dk1"/>
              </a:solidFill>
              <a:effectLst/>
              <a:latin typeface="Calibri" panose="020F0502020204030204" pitchFamily="34" charset="0"/>
              <a:ea typeface="+mn-ea"/>
              <a:cs typeface="Calibri" panose="020F0502020204030204" pitchFamily="34" charset="0"/>
            </a:rPr>
            <a:t>Δ</a:t>
          </a:r>
          <a:r>
            <a:rPr lang="en-US" sz="1100" baseline="0">
              <a:solidFill>
                <a:schemeClr val="dk1"/>
              </a:solidFill>
              <a:effectLst/>
              <a:latin typeface="Calibri" panose="020F0502020204030204" pitchFamily="34" charset="0"/>
              <a:ea typeface="+mn-ea"/>
              <a:cs typeface="Calibri" panose="020F0502020204030204" pitchFamily="34" charset="0"/>
            </a:rPr>
            <a:t>VOUT compliance accuracy.</a:t>
          </a:r>
          <a:endParaRPr lang="en-US" sz="1100" baseline="0">
            <a:solidFill>
              <a:schemeClr val="dk1"/>
            </a:solidFill>
            <a:effectLst/>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95249</xdr:colOff>
      <xdr:row>0</xdr:row>
      <xdr:rowOff>83344</xdr:rowOff>
    </xdr:from>
    <xdr:to>
      <xdr:col>4</xdr:col>
      <xdr:colOff>574861</xdr:colOff>
      <xdr:row>19</xdr:row>
      <xdr:rowOff>8906</xdr:rowOff>
    </xdr:to>
    <xdr:graphicFrame macro="">
      <xdr:nvGraphicFramePr>
        <xdr:cNvPr id="4" name="1">
          <a:extLst>
            <a:ext uri="{FF2B5EF4-FFF2-40B4-BE49-F238E27FC236}">
              <a16:creationId xmlns:a16="http://schemas.microsoft.com/office/drawing/2014/main" id="{3EDB02C5-31AA-422D-97B8-973BBB51D4F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4</xdr:col>
      <xdr:colOff>8284</xdr:colOff>
      <xdr:row>25</xdr:row>
      <xdr:rowOff>179294</xdr:rowOff>
    </xdr:from>
    <xdr:to>
      <xdr:col>7</xdr:col>
      <xdr:colOff>0</xdr:colOff>
      <xdr:row>36</xdr:row>
      <xdr:rowOff>7690</xdr:rowOff>
    </xdr:to>
    <xdr:sp macro="" textlink="">
      <xdr:nvSpPr>
        <xdr:cNvPr id="7" name="TextBox 6">
          <a:extLst>
            <a:ext uri="{FF2B5EF4-FFF2-40B4-BE49-F238E27FC236}">
              <a16:creationId xmlns:a16="http://schemas.microsoft.com/office/drawing/2014/main" id="{575E5BEA-C69B-4093-BEE7-28092FBB37DF}"/>
            </a:ext>
          </a:extLst>
        </xdr:cNvPr>
        <xdr:cNvSpPr txBox="1"/>
      </xdr:nvSpPr>
      <xdr:spPr>
        <a:xfrm>
          <a:off x="6843872" y="4941794"/>
          <a:ext cx="3667246" cy="215201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lgn="ctr">
            <a:buFontTx/>
            <a:buNone/>
          </a:pPr>
          <a:r>
            <a:rPr lang="en-US" sz="1200" b="1"/>
            <a:t>Initial</a:t>
          </a:r>
          <a:endParaRPr lang="en-US" sz="1100">
            <a:effectLst/>
          </a:endParaRP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en-US" sz="1100" baseline="0">
              <a:solidFill>
                <a:schemeClr val="dk1"/>
              </a:solidFill>
              <a:effectLst/>
              <a:latin typeface="+mn-lt"/>
              <a:ea typeface="+mn-ea"/>
              <a:cs typeface="+mn-cs"/>
            </a:rPr>
            <a:t>Add enough capacitors so that ZOUT(TOTAL) is below ZOUT(MIN) in the frequency range of fT to fSTEP.</a:t>
          </a:r>
          <a:endParaRPr lang="en-US" sz="1100">
            <a:effectLst/>
          </a:endParaRPr>
        </a:p>
        <a:p>
          <a:pPr marL="171450" indent="-171450" eaLnBrk="1" fontAlgn="auto" latinLnBrk="0" hangingPunct="1">
            <a:buFont typeface="Arial" panose="020B0604020202020204" pitchFamily="34" charset="0"/>
            <a:buChar char="•"/>
          </a:pPr>
          <a:r>
            <a:rPr lang="en-US" sz="1100">
              <a:effectLst/>
            </a:rPr>
            <a:t>Input the</a:t>
          </a:r>
          <a:r>
            <a:rPr lang="en-US" sz="1100" baseline="0">
              <a:effectLst/>
            </a:rPr>
            <a:t> rise time of your load step, 10ns is typical.</a:t>
          </a:r>
        </a:p>
        <a:p>
          <a:pPr marL="171450" indent="-171450" eaLnBrk="1" fontAlgn="auto" latinLnBrk="0" hangingPunct="1">
            <a:buFont typeface="Arial" panose="020B0604020202020204" pitchFamily="34" charset="0"/>
            <a:buChar char="•"/>
          </a:pPr>
          <a:r>
            <a:rPr lang="en-US" sz="1100" baseline="0">
              <a:solidFill>
                <a:schemeClr val="dk1"/>
              </a:solidFill>
              <a:effectLst/>
              <a:latin typeface="+mn-lt"/>
              <a:ea typeface="+mn-ea"/>
              <a:cs typeface="+mn-cs"/>
            </a:rPr>
            <a:t>Acceptable Combinations: </a:t>
          </a:r>
          <a:endParaRPr lang="en-US">
            <a:effectLst/>
          </a:endParaRPr>
        </a:p>
        <a:p>
          <a:pPr eaLnBrk="1" fontAlgn="auto" latinLnBrk="0" hangingPunct="1"/>
          <a:r>
            <a:rPr lang="en-US" sz="1100" baseline="0">
              <a:solidFill>
                <a:schemeClr val="dk1"/>
              </a:solidFill>
              <a:effectLst/>
              <a:latin typeface="+mn-lt"/>
              <a:ea typeface="+mn-ea"/>
              <a:cs typeface="+mn-cs"/>
            </a:rPr>
            <a:t>1. Bulk</a:t>
          </a:r>
          <a:endParaRPr lang="en-US">
            <a:effectLst/>
          </a:endParaRPr>
        </a:p>
        <a:p>
          <a:pPr eaLnBrk="1" fontAlgn="auto" latinLnBrk="0" hangingPunct="1"/>
          <a:r>
            <a:rPr lang="en-US" sz="1100" baseline="0">
              <a:solidFill>
                <a:schemeClr val="dk1"/>
              </a:solidFill>
              <a:effectLst/>
              <a:latin typeface="+mn-lt"/>
              <a:ea typeface="+mn-ea"/>
              <a:cs typeface="+mn-cs"/>
            </a:rPr>
            <a:t>2. Bulk+HF</a:t>
          </a:r>
          <a:endParaRPr lang="en-US">
            <a:effectLst/>
          </a:endParaRPr>
        </a:p>
        <a:p>
          <a:pPr eaLnBrk="1" fontAlgn="auto" latinLnBrk="0" hangingPunct="1"/>
          <a:r>
            <a:rPr lang="en-US" sz="1100" baseline="0">
              <a:solidFill>
                <a:schemeClr val="dk1"/>
              </a:solidFill>
              <a:effectLst/>
              <a:latin typeface="+mn-lt"/>
              <a:ea typeface="+mn-ea"/>
              <a:cs typeface="+mn-cs"/>
            </a:rPr>
            <a:t>3. Bulk+MF1+HF</a:t>
          </a:r>
          <a:endParaRPr lang="en-US">
            <a:effectLst/>
          </a:endParaRPr>
        </a:p>
        <a:p>
          <a:pPr eaLnBrk="1" fontAlgn="auto" latinLnBrk="0" hangingPunct="1"/>
          <a:r>
            <a:rPr lang="en-US" sz="1100" baseline="0">
              <a:solidFill>
                <a:schemeClr val="dk1"/>
              </a:solidFill>
              <a:effectLst/>
              <a:latin typeface="+mn-lt"/>
              <a:ea typeface="+mn-ea"/>
              <a:cs typeface="+mn-cs"/>
            </a:rPr>
            <a:t>4. Bulk+MF1+MF2+MF3+HF</a:t>
          </a:r>
          <a:endParaRPr lang="en-US">
            <a:effectLst/>
          </a:endParaRPr>
        </a:p>
        <a:p>
          <a:pPr marL="171450" indent="-171450" eaLnBrk="1" fontAlgn="auto" latinLnBrk="0" hangingPunct="1">
            <a:buFont typeface="Arial" panose="020B0604020202020204" pitchFamily="34" charset="0"/>
            <a:buChar char="•"/>
          </a:pPr>
          <a:endParaRPr lang="en-US" sz="1100">
            <a:effectLst/>
          </a:endParaRPr>
        </a:p>
      </xdr:txBody>
    </xdr:sp>
    <xdr:clientData/>
  </xdr:twoCellAnchor>
  <xdr:twoCellAnchor editAs="oneCell">
    <xdr:from>
      <xdr:col>4</xdr:col>
      <xdr:colOff>11206</xdr:colOff>
      <xdr:row>34</xdr:row>
      <xdr:rowOff>7794</xdr:rowOff>
    </xdr:from>
    <xdr:to>
      <xdr:col>7</xdr:col>
      <xdr:colOff>14518</xdr:colOff>
      <xdr:row>45</xdr:row>
      <xdr:rowOff>103190</xdr:rowOff>
    </xdr:to>
    <xdr:sp macro="" textlink="">
      <xdr:nvSpPr>
        <xdr:cNvPr id="2" name="TextBox 1">
          <a:extLst>
            <a:ext uri="{FF2B5EF4-FFF2-40B4-BE49-F238E27FC236}">
              <a16:creationId xmlns:a16="http://schemas.microsoft.com/office/drawing/2014/main" id="{8F9F17A5-1AC1-4F3E-9F40-BE8A73F827A9}"/>
            </a:ext>
          </a:extLst>
        </xdr:cNvPr>
        <xdr:cNvSpPr txBox="1"/>
      </xdr:nvSpPr>
      <xdr:spPr>
        <a:xfrm>
          <a:off x="6846794" y="6720118"/>
          <a:ext cx="3678842" cy="229623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lgn="ctr">
            <a:buFontTx/>
            <a:buNone/>
          </a:pPr>
          <a:r>
            <a:rPr lang="en-US" sz="1200" b="1"/>
            <a:t>Bulk Capacitors</a:t>
          </a:r>
        </a:p>
        <a:p>
          <a:pPr marL="228600" indent="-228600">
            <a:buFont typeface="+mj-lt"/>
            <a:buAutoNum type="arabicPeriod"/>
          </a:pPr>
          <a:r>
            <a:rPr lang="en-US" sz="1100"/>
            <a:t>Enter the specifications of your preferred bulk capacitor.</a:t>
          </a:r>
        </a:p>
        <a:p>
          <a:pPr marL="228600" indent="-228600">
            <a:buFont typeface="+mj-lt"/>
            <a:buAutoNum type="arabicPeriod"/>
          </a:pPr>
          <a:r>
            <a:rPr lang="en-US" sz="1100"/>
            <a:t>Tantalum/TaPoly</a:t>
          </a:r>
          <a:r>
            <a:rPr lang="en-US" sz="1100" baseline="0"/>
            <a:t> are good choices because of their high capacitance.</a:t>
          </a:r>
          <a:endParaRPr lang="en-US" sz="1100"/>
        </a:p>
        <a:p>
          <a:pPr marL="228600" indent="-228600">
            <a:buFont typeface="+mj-lt"/>
            <a:buAutoNum type="arabicPeriod"/>
          </a:pPr>
          <a:r>
            <a:rPr lang="en-US" sz="1100">
              <a:solidFill>
                <a:schemeClr val="dk1"/>
              </a:solidFill>
              <a:effectLst/>
              <a:latin typeface="+mn-lt"/>
              <a:ea typeface="+mn-ea"/>
              <a:cs typeface="+mn-cs"/>
            </a:rPr>
            <a:t>Increase the quantity until the  Z</a:t>
          </a:r>
          <a:r>
            <a:rPr lang="en-US" sz="1100" baseline="-25000">
              <a:solidFill>
                <a:schemeClr val="dk1"/>
              </a:solidFill>
              <a:effectLst/>
              <a:latin typeface="+mn-lt"/>
              <a:ea typeface="+mn-ea"/>
              <a:cs typeface="+mn-cs"/>
            </a:rPr>
            <a:t>(BULK) </a:t>
          </a:r>
          <a:r>
            <a:rPr lang="en-US" sz="1100">
              <a:solidFill>
                <a:schemeClr val="dk1"/>
              </a:solidFill>
              <a:effectLst/>
              <a:latin typeface="+mn-lt"/>
              <a:ea typeface="+mn-ea"/>
              <a:cs typeface="+mn-cs"/>
            </a:rPr>
            <a:t>impedance is</a:t>
          </a:r>
          <a:r>
            <a:rPr lang="en-US" sz="1100" baseline="0">
              <a:solidFill>
                <a:schemeClr val="dk1"/>
              </a:solidFill>
              <a:effectLst/>
              <a:latin typeface="+mn-lt"/>
              <a:ea typeface="+mn-ea"/>
              <a:cs typeface="+mn-cs"/>
            </a:rPr>
            <a:t> below  Z</a:t>
          </a:r>
          <a:r>
            <a:rPr lang="en-US" sz="1100" baseline="-25000">
              <a:solidFill>
                <a:schemeClr val="dk1"/>
              </a:solidFill>
              <a:effectLst/>
              <a:latin typeface="+mn-lt"/>
              <a:ea typeface="+mn-ea"/>
              <a:cs typeface="+mn-cs"/>
            </a:rPr>
            <a:t>OUT(MIN)</a:t>
          </a:r>
          <a:r>
            <a:rPr lang="en-US" sz="1100" baseline="0">
              <a:solidFill>
                <a:schemeClr val="dk1"/>
              </a:solidFill>
              <a:effectLst/>
              <a:latin typeface="+mn-lt"/>
              <a:ea typeface="+mn-ea"/>
              <a:cs typeface="+mn-cs"/>
            </a:rPr>
            <a:t> at the f</a:t>
          </a:r>
          <a:r>
            <a:rPr lang="en-US" sz="1100" baseline="-25000">
              <a:solidFill>
                <a:schemeClr val="dk1"/>
              </a:solidFill>
              <a:effectLst/>
              <a:latin typeface="+mn-lt"/>
              <a:ea typeface="+mn-ea"/>
              <a:cs typeface="+mn-cs"/>
            </a:rPr>
            <a:t>T</a:t>
          </a:r>
          <a:r>
            <a:rPr lang="en-US" sz="1100" baseline="0">
              <a:solidFill>
                <a:schemeClr val="dk1"/>
              </a:solidFill>
              <a:effectLst/>
              <a:latin typeface="+mn-lt"/>
              <a:ea typeface="+mn-ea"/>
              <a:cs typeface="+mn-cs"/>
            </a:rPr>
            <a:t>.</a:t>
          </a:r>
        </a:p>
        <a:p>
          <a:pPr marL="228600" indent="-228600">
            <a:buFont typeface="+mj-lt"/>
            <a:buAutoNum type="arabicPeriod"/>
          </a:pPr>
          <a:r>
            <a:rPr lang="en-US" sz="1100">
              <a:solidFill>
                <a:schemeClr val="dk1"/>
              </a:solidFill>
              <a:effectLst/>
              <a:latin typeface="+mn-lt"/>
              <a:ea typeface="+mn-ea"/>
              <a:cs typeface="+mn-cs"/>
            </a:rPr>
            <a:t>Find a different</a:t>
          </a:r>
          <a:r>
            <a:rPr lang="en-US" sz="1100" baseline="0">
              <a:solidFill>
                <a:schemeClr val="dk1"/>
              </a:solidFill>
              <a:effectLst/>
              <a:latin typeface="+mn-lt"/>
              <a:ea typeface="+mn-ea"/>
              <a:cs typeface="+mn-cs"/>
            </a:rPr>
            <a:t> bulk capacitor and repeat the exercise i</a:t>
          </a:r>
          <a:r>
            <a:rPr lang="en-US" sz="1100">
              <a:solidFill>
                <a:schemeClr val="dk1"/>
              </a:solidFill>
              <a:effectLst/>
              <a:latin typeface="+mn-lt"/>
              <a:ea typeface="+mn-ea"/>
              <a:cs typeface="+mn-cs"/>
            </a:rPr>
            <a:t>f</a:t>
          </a:r>
          <a:r>
            <a:rPr lang="en-US" sz="1100" baseline="0">
              <a:solidFill>
                <a:schemeClr val="dk1"/>
              </a:solidFill>
              <a:effectLst/>
              <a:latin typeface="+mn-lt"/>
              <a:ea typeface="+mn-ea"/>
              <a:cs typeface="+mn-cs"/>
            </a:rPr>
            <a:t> the quantity becomes too large for the PCB area or the total bulk capacitance significantly exceeds the C</a:t>
          </a:r>
          <a:r>
            <a:rPr lang="en-US" sz="1100" baseline="-25000">
              <a:solidFill>
                <a:schemeClr val="dk1"/>
              </a:solidFill>
              <a:effectLst/>
              <a:latin typeface="+mn-lt"/>
              <a:ea typeface="+mn-ea"/>
              <a:cs typeface="+mn-cs"/>
            </a:rPr>
            <a:t>OUT(BULK, MIN)</a:t>
          </a:r>
          <a:r>
            <a:rPr lang="en-US" sz="1100" baseline="0">
              <a:solidFill>
                <a:schemeClr val="dk1"/>
              </a:solidFill>
              <a:effectLst/>
              <a:latin typeface="+mn-lt"/>
              <a:ea typeface="+mn-ea"/>
              <a:cs typeface="+mn-cs"/>
            </a:rPr>
            <a:t>. </a:t>
          </a:r>
          <a:endParaRPr lang="en-US" sz="1100"/>
        </a:p>
        <a:p>
          <a:endParaRPr lang="en-US" sz="1100"/>
        </a:p>
      </xdr:txBody>
    </xdr:sp>
    <xdr:clientData/>
  </xdr:twoCellAnchor>
  <xdr:twoCellAnchor editAs="oneCell">
    <xdr:from>
      <xdr:col>4</xdr:col>
      <xdr:colOff>0</xdr:colOff>
      <xdr:row>43</xdr:row>
      <xdr:rowOff>190499</xdr:rowOff>
    </xdr:from>
    <xdr:to>
      <xdr:col>7</xdr:col>
      <xdr:colOff>8281</xdr:colOff>
      <xdr:row>58</xdr:row>
      <xdr:rowOff>166624</xdr:rowOff>
    </xdr:to>
    <xdr:sp macro="" textlink="">
      <xdr:nvSpPr>
        <xdr:cNvPr id="5" name="TextBox 4">
          <a:extLst>
            <a:ext uri="{FF2B5EF4-FFF2-40B4-BE49-F238E27FC236}">
              <a16:creationId xmlns:a16="http://schemas.microsoft.com/office/drawing/2014/main" id="{CC9F43CF-F80C-4A25-A105-CAAC9714C32D}"/>
            </a:ext>
          </a:extLst>
        </xdr:cNvPr>
        <xdr:cNvSpPr txBox="1"/>
      </xdr:nvSpPr>
      <xdr:spPr>
        <a:xfrm>
          <a:off x="4986130" y="8945216"/>
          <a:ext cx="3685760" cy="297345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1200" b="1">
              <a:solidFill>
                <a:schemeClr val="dk1"/>
              </a:solidFill>
              <a:effectLst/>
              <a:latin typeface="+mn-lt"/>
              <a:ea typeface="+mn-ea"/>
              <a:cs typeface="+mn-cs"/>
            </a:rPr>
            <a:t>High Frequency</a:t>
          </a:r>
          <a:endParaRPr lang="en-US" sz="1100"/>
        </a:p>
        <a:p>
          <a:pPr marL="228600" indent="-228600">
            <a:buFont typeface="+mj-lt"/>
            <a:buAutoNum type="arabicPeriod"/>
          </a:pPr>
          <a:r>
            <a:rPr lang="en-US" sz="1100"/>
            <a:t>Enable the High-Frequency capacitor to cover your</a:t>
          </a:r>
          <a:r>
            <a:rPr lang="en-US" sz="1100" baseline="0"/>
            <a:t> the fastest edge of your load (f</a:t>
          </a:r>
          <a:r>
            <a:rPr lang="en-US" sz="1100" baseline="-25000"/>
            <a:t>STEP</a:t>
          </a:r>
          <a:r>
            <a:rPr lang="en-US" sz="1100" baseline="0"/>
            <a:t>) frequency range.</a:t>
          </a:r>
          <a:endParaRPr lang="en-US" sz="1100"/>
        </a:p>
        <a:p>
          <a:pPr marL="228600" indent="-228600">
            <a:buFont typeface="+mj-lt"/>
            <a:buAutoNum type="arabicPeriod"/>
          </a:pPr>
          <a:r>
            <a:rPr lang="en-US" sz="1100"/>
            <a:t>Enter the specifications of your preferred HF capacitor. Typically</a:t>
          </a:r>
          <a:r>
            <a:rPr lang="en-US" sz="1100" baseline="0"/>
            <a:t> these are 0.01 to 0.1µF.</a:t>
          </a:r>
        </a:p>
        <a:p>
          <a:pPr marL="228600" indent="-228600">
            <a:buFont typeface="+mj-lt"/>
            <a:buAutoNum type="arabicPeriod"/>
          </a:pPr>
          <a:r>
            <a:rPr lang="en-US" sz="1100" baseline="0"/>
            <a:t>Ceramics are recommended.</a:t>
          </a:r>
        </a:p>
        <a:p>
          <a:pPr marL="228600" indent="-228600">
            <a:buFont typeface="+mj-lt"/>
            <a:buAutoNum type="arabicPeriod"/>
          </a:pPr>
          <a:r>
            <a:rPr lang="en-US" sz="1100" baseline="0"/>
            <a:t>Use 10m</a:t>
          </a:r>
          <a:r>
            <a:rPr lang="el-GR" sz="1100" baseline="0">
              <a:latin typeface="Calibri" panose="020F0502020204030204" pitchFamily="34" charset="0"/>
              <a:cs typeface="Calibri" panose="020F0502020204030204" pitchFamily="34" charset="0"/>
            </a:rPr>
            <a:t>Ω</a:t>
          </a:r>
          <a:r>
            <a:rPr lang="en-US" sz="1100" baseline="0">
              <a:latin typeface="Calibri" panose="020F0502020204030204" pitchFamily="34" charset="0"/>
              <a:cs typeface="Calibri" panose="020F0502020204030204" pitchFamily="34" charset="0"/>
            </a:rPr>
            <a:t> ESR for ceramics.</a:t>
          </a:r>
          <a:endParaRPr lang="en-US" sz="1100" baseline="0"/>
        </a:p>
        <a:p>
          <a:pPr marL="228600" indent="-228600">
            <a:buFont typeface="+mj-lt"/>
            <a:buAutoNum type="arabicPeriod"/>
          </a:pPr>
          <a:r>
            <a:rPr lang="en-US" sz="1100" baseline="0"/>
            <a:t>Increase the Quantity until the Z</a:t>
          </a:r>
          <a:r>
            <a:rPr lang="en-US" sz="1100" baseline="-25000"/>
            <a:t>(TOTAL)</a:t>
          </a:r>
          <a:r>
            <a:rPr lang="en-US" sz="1100" baseline="0"/>
            <a:t> impedance is below Z</a:t>
          </a:r>
          <a:r>
            <a:rPr lang="en-US" sz="1100" baseline="-25000"/>
            <a:t>OUT(MIN)</a:t>
          </a:r>
          <a:r>
            <a:rPr lang="en-US" sz="1100" baseline="0"/>
            <a:t> from f</a:t>
          </a:r>
          <a:r>
            <a:rPr lang="en-US" sz="1100" baseline="-25000"/>
            <a:t>STEP</a:t>
          </a:r>
          <a:r>
            <a:rPr lang="en-US" sz="1100" baseline="0"/>
            <a:t> to f</a:t>
          </a:r>
          <a:r>
            <a:rPr lang="en-US" sz="1100" baseline="-25000"/>
            <a:t>TRANSITION.</a:t>
          </a:r>
        </a:p>
        <a:p>
          <a:pPr marL="228600" indent="-228600">
            <a:buFont typeface="+mj-lt"/>
            <a:buAutoNum type="arabicPeriod"/>
          </a:pPr>
          <a:r>
            <a:rPr lang="en-US" sz="1100" baseline="0">
              <a:solidFill>
                <a:schemeClr val="dk1"/>
              </a:solidFill>
              <a:latin typeface="+mn-lt"/>
              <a:ea typeface="+mn-ea"/>
              <a:cs typeface="+mn-cs"/>
            </a:rPr>
            <a:t>These should be </a:t>
          </a:r>
          <a:r>
            <a:rPr lang="en-US" sz="1100" baseline="0"/>
            <a:t>placed as close to your load as possible on the PCB.</a:t>
          </a:r>
          <a:endParaRPr lang="en-US" sz="1100" baseline="-25000"/>
        </a:p>
      </xdr:txBody>
    </xdr:sp>
    <xdr:clientData/>
  </xdr:twoCellAnchor>
  <xdr:twoCellAnchor editAs="oneCell">
    <xdr:from>
      <xdr:col>4</xdr:col>
      <xdr:colOff>0</xdr:colOff>
      <xdr:row>55</xdr:row>
      <xdr:rowOff>16565</xdr:rowOff>
    </xdr:from>
    <xdr:to>
      <xdr:col>7</xdr:col>
      <xdr:colOff>16565</xdr:colOff>
      <xdr:row>87</xdr:row>
      <xdr:rowOff>62754</xdr:rowOff>
    </xdr:to>
    <xdr:sp macro="" textlink="">
      <xdr:nvSpPr>
        <xdr:cNvPr id="3" name="TextBox 2">
          <a:extLst>
            <a:ext uri="{FF2B5EF4-FFF2-40B4-BE49-F238E27FC236}">
              <a16:creationId xmlns:a16="http://schemas.microsoft.com/office/drawing/2014/main" id="{E2757AB5-F37C-4F8F-8E88-AE71303A380C}"/>
            </a:ext>
          </a:extLst>
        </xdr:cNvPr>
        <xdr:cNvSpPr txBox="1"/>
      </xdr:nvSpPr>
      <xdr:spPr>
        <a:xfrm>
          <a:off x="4986130" y="11181522"/>
          <a:ext cx="3694044" cy="645215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lgn="ctr">
            <a:buFontTx/>
            <a:buNone/>
          </a:pPr>
          <a:r>
            <a:rPr lang="en-US" sz="1200" b="1"/>
            <a:t>Mid-Frequency</a:t>
          </a:r>
        </a:p>
        <a:p>
          <a:pPr marL="228600" indent="-228600">
            <a:buFont typeface="+mj-lt"/>
            <a:buAutoNum type="arabicPeriod"/>
          </a:pPr>
          <a:r>
            <a:rPr lang="en-US" sz="1100"/>
            <a:t>Enable the Mid-Frequency capacitor if if</a:t>
          </a:r>
          <a:r>
            <a:rPr lang="en-US" sz="1100" baseline="0"/>
            <a:t> you need anything in the mid-frequency range of Z</a:t>
          </a:r>
          <a:r>
            <a:rPr lang="en-US" sz="1100" baseline="-25000"/>
            <a:t>OUT(MIN)</a:t>
          </a:r>
          <a:r>
            <a:rPr lang="en-US" sz="1100" baseline="0"/>
            <a:t>.</a:t>
          </a:r>
          <a:endParaRPr lang="en-US" sz="1100"/>
        </a:p>
        <a:p>
          <a:pPr marL="228600" indent="-228600">
            <a:buFont typeface="+mj-lt"/>
            <a:buAutoNum type="arabicPeriod"/>
          </a:pPr>
          <a:r>
            <a:rPr lang="en-US" sz="1100"/>
            <a:t>Enter the specifications of your preferred MF capacitor. Typically</a:t>
          </a:r>
          <a:r>
            <a:rPr lang="en-US" sz="1100" baseline="0"/>
            <a:t> these are 0.1µF to 10µF. </a:t>
          </a:r>
        </a:p>
        <a:p>
          <a:pPr marL="228600" indent="-228600">
            <a:buFont typeface="+mj-lt"/>
            <a:buAutoNum type="arabicPeriod"/>
          </a:pPr>
          <a:r>
            <a:rPr lang="en-US" sz="1100" baseline="0"/>
            <a:t>These can be ceramics or Tantalum/TaPoly.</a:t>
          </a:r>
        </a:p>
        <a:p>
          <a:pPr marL="228600" indent="-228600">
            <a:buFont typeface="+mj-lt"/>
            <a:buAutoNum type="arabicPeriod"/>
          </a:pPr>
          <a:r>
            <a:rPr lang="en-US" sz="1100" baseline="0"/>
            <a:t>Increase the Quantity until the Z</a:t>
          </a:r>
          <a:r>
            <a:rPr lang="en-US" sz="1100" baseline="-25000"/>
            <a:t>OUT(TOTAL)</a:t>
          </a:r>
          <a:r>
            <a:rPr lang="en-US" sz="1100" baseline="0"/>
            <a:t> impedance is below Z</a:t>
          </a:r>
          <a:r>
            <a:rPr lang="en-US" sz="1100" baseline="-25000"/>
            <a:t>OUT(MIN)</a:t>
          </a:r>
          <a:r>
            <a:rPr lang="en-US" sz="1100" baseline="0"/>
            <a:t>.</a:t>
          </a:r>
        </a:p>
        <a:p>
          <a:pPr marL="228600" indent="-228600">
            <a:buFont typeface="+mj-lt"/>
            <a:buAutoNum type="arabicPeriod"/>
          </a:pPr>
          <a:r>
            <a:rPr lang="en-US" sz="1100">
              <a:solidFill>
                <a:schemeClr val="dk1"/>
              </a:solidFill>
              <a:effectLst/>
              <a:latin typeface="+mn-lt"/>
              <a:ea typeface="+mn-ea"/>
              <a:cs typeface="+mn-cs"/>
            </a:rPr>
            <a:t>Find a different</a:t>
          </a:r>
          <a:r>
            <a:rPr lang="en-US" sz="1100" baseline="0">
              <a:solidFill>
                <a:schemeClr val="dk1"/>
              </a:solidFill>
              <a:effectLst/>
              <a:latin typeface="+mn-lt"/>
              <a:ea typeface="+mn-ea"/>
              <a:cs typeface="+mn-cs"/>
            </a:rPr>
            <a:t> MF capacitor and repeat the exercise i</a:t>
          </a:r>
          <a:r>
            <a:rPr lang="en-US" sz="1100">
              <a:solidFill>
                <a:schemeClr val="dk1"/>
              </a:solidFill>
              <a:effectLst/>
              <a:latin typeface="+mn-lt"/>
              <a:ea typeface="+mn-ea"/>
              <a:cs typeface="+mn-cs"/>
            </a:rPr>
            <a:t>f</a:t>
          </a:r>
          <a:r>
            <a:rPr lang="en-US" sz="1100" baseline="0">
              <a:solidFill>
                <a:schemeClr val="dk1"/>
              </a:solidFill>
              <a:effectLst/>
              <a:latin typeface="+mn-lt"/>
              <a:ea typeface="+mn-ea"/>
              <a:cs typeface="+mn-cs"/>
            </a:rPr>
            <a:t> the quantity becomes too large for the PCB area or add other MF capacitors at other frequencies.</a:t>
          </a:r>
        </a:p>
        <a:p>
          <a:pPr marL="228600" indent="-228600">
            <a:buFont typeface="+mj-lt"/>
            <a:buAutoNum type="arabicPeriod"/>
          </a:pPr>
          <a:r>
            <a:rPr lang="en-US" sz="1100" baseline="0">
              <a:solidFill>
                <a:schemeClr val="dk1"/>
              </a:solidFill>
              <a:effectLst/>
              <a:latin typeface="+mn-lt"/>
              <a:ea typeface="+mn-ea"/>
              <a:cs typeface="+mn-cs"/>
            </a:rPr>
            <a:t>In cases where Z</a:t>
          </a:r>
          <a:r>
            <a:rPr lang="en-US" sz="1100" baseline="-25000">
              <a:solidFill>
                <a:schemeClr val="dk1"/>
              </a:solidFill>
              <a:effectLst/>
              <a:latin typeface="+mn-lt"/>
              <a:ea typeface="+mn-ea"/>
              <a:cs typeface="+mn-cs"/>
            </a:rPr>
            <a:t>OUT(MIN) </a:t>
          </a:r>
          <a:r>
            <a:rPr lang="en-US" sz="1100" baseline="0">
              <a:solidFill>
                <a:schemeClr val="dk1"/>
              </a:solidFill>
              <a:effectLst/>
              <a:latin typeface="+mn-lt"/>
              <a:ea typeface="+mn-ea"/>
              <a:cs typeface="+mn-cs"/>
            </a:rPr>
            <a:t>covers a wide frequency range you will probably need to enable more Mid-Frequency Capacitors. There are 2 more provided for that reason.</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3362</xdr:colOff>
      <xdr:row>26</xdr:row>
      <xdr:rowOff>171448</xdr:rowOff>
    </xdr:from>
    <xdr:to>
      <xdr:col>7</xdr:col>
      <xdr:colOff>2401</xdr:colOff>
      <xdr:row>46</xdr:row>
      <xdr:rowOff>54428</xdr:rowOff>
    </xdr:to>
    <xdr:sp macro="" textlink="">
      <xdr:nvSpPr>
        <xdr:cNvPr id="2" name="TextBox 1">
          <a:extLst>
            <a:ext uri="{FF2B5EF4-FFF2-40B4-BE49-F238E27FC236}">
              <a16:creationId xmlns:a16="http://schemas.microsoft.com/office/drawing/2014/main" id="{411B3D00-DB17-43EE-BD2A-7EC9AD5529EE}"/>
            </a:ext>
          </a:extLst>
        </xdr:cNvPr>
        <xdr:cNvSpPr txBox="1"/>
      </xdr:nvSpPr>
      <xdr:spPr>
        <a:xfrm>
          <a:off x="8553450" y="5314948"/>
          <a:ext cx="4044363" cy="419724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lgn="ctr">
            <a:buFontTx/>
            <a:buNone/>
          </a:pPr>
          <a:r>
            <a:rPr lang="en-US" sz="1200" b="1"/>
            <a:t>ΔVIN Targets</a:t>
          </a:r>
        </a:p>
        <a:p>
          <a:pPr marL="228600" indent="-228600" eaLnBrk="1" fontAlgn="auto" latinLnBrk="0" hangingPunct="1">
            <a:buFont typeface="+mj-lt"/>
            <a:buAutoNum type="arabicPeriod"/>
          </a:pPr>
          <a:r>
            <a:rPr lang="en-US" sz="1100" baseline="0">
              <a:solidFill>
                <a:schemeClr val="dk1"/>
              </a:solidFill>
              <a:effectLst/>
              <a:latin typeface="+mn-lt"/>
              <a:ea typeface="+mn-ea"/>
              <a:cs typeface="+mn-cs"/>
            </a:rPr>
            <a:t>Add enough capacitors so that ZIN(TOTAL) is below Z(RIPPLE) at fSW, Z(STEP) at fSTEP, and Z(TRANSITION) fTRANSITION.</a:t>
          </a:r>
        </a:p>
        <a:p>
          <a:pPr marL="228600" indent="-228600" eaLnBrk="1" fontAlgn="auto" latinLnBrk="0" hangingPunct="1">
            <a:buFont typeface="+mj-lt"/>
            <a:buAutoNum type="arabicPeriod"/>
          </a:pPr>
          <a:endParaRPr lang="en-US" sz="1100">
            <a:effectLst/>
          </a:endParaRPr>
        </a:p>
        <a:p>
          <a:pPr marL="228600" indent="-228600" eaLnBrk="1" fontAlgn="auto" latinLnBrk="0" hangingPunct="1">
            <a:buFont typeface="+mj-lt"/>
            <a:buAutoNum type="arabicPeriod"/>
          </a:pPr>
          <a:r>
            <a:rPr lang="en-US" sz="1100">
              <a:solidFill>
                <a:schemeClr val="dk1"/>
              </a:solidFill>
              <a:effectLst/>
              <a:latin typeface="+mn-lt"/>
              <a:ea typeface="+mn-ea"/>
              <a:cs typeface="+mn-cs"/>
            </a:rPr>
            <a:t>Input the</a:t>
          </a:r>
          <a:r>
            <a:rPr lang="en-US" sz="1100" baseline="0">
              <a:solidFill>
                <a:schemeClr val="dk1"/>
              </a:solidFill>
              <a:effectLst/>
              <a:latin typeface="+mn-lt"/>
              <a:ea typeface="+mn-ea"/>
              <a:cs typeface="+mn-cs"/>
            </a:rPr>
            <a:t> rise time of your load step.</a:t>
          </a:r>
          <a:endParaRPr lang="en-US" sz="1100"/>
        </a:p>
        <a:p>
          <a:pPr marL="228600" indent="-228600">
            <a:buFont typeface="+mj-lt"/>
            <a:buAutoNum type="arabicPeriod"/>
          </a:pPr>
          <a:r>
            <a:rPr lang="en-US" sz="1100"/>
            <a:t>Enter your target max RMS input ripple voltage. If you don't know a few guidelines:</a:t>
          </a:r>
          <a:r>
            <a:rPr lang="en-US" sz="1100" baseline="0"/>
            <a:t> </a:t>
          </a:r>
          <a:r>
            <a:rPr lang="en-US" sz="1100"/>
            <a:t>75 mVp-p</a:t>
          </a:r>
          <a:r>
            <a:rPr lang="en-US" sz="1100" baseline="0"/>
            <a:t> or 1% of VIN.</a:t>
          </a:r>
        </a:p>
        <a:p>
          <a:pPr marL="228600" indent="-228600">
            <a:buFont typeface="+mj-lt"/>
            <a:buAutoNum type="arabicPeriod"/>
          </a:pPr>
          <a:r>
            <a:rPr lang="en-US" sz="1100"/>
            <a:t>Enter your target VIN sag due to a VOUT load step. 100mV is a safe target, but</a:t>
          </a:r>
          <a:r>
            <a:rPr lang="en-US" sz="1100" baseline="0"/>
            <a:t> you may need to tighten this target if you are operating near any component's minimum VIN or UVLO level. </a:t>
          </a:r>
        </a:p>
        <a:p>
          <a:pPr marL="228600" indent="-228600">
            <a:buFont typeface="+mj-lt"/>
            <a:buAutoNum type="arabicPeriod"/>
          </a:pPr>
          <a:r>
            <a:rPr lang="en-US" sz="1100" baseline="0"/>
            <a:t>Add the value of your ferrite bead / inductor. If not using one use 50nH for stray PCB inductance.</a:t>
          </a:r>
        </a:p>
        <a:p>
          <a:pPr marL="228600" indent="-228600">
            <a:buFont typeface="+mj-lt"/>
            <a:buAutoNum type="arabicPeriod"/>
          </a:pPr>
          <a:r>
            <a:rPr lang="en-US" sz="1100" baseline="0"/>
            <a:t>Like the COUT Network Design Sheet, add capacitors </a:t>
          </a:r>
        </a:p>
      </xdr:txBody>
    </xdr:sp>
    <xdr:clientData/>
  </xdr:twoCellAnchor>
  <xdr:twoCellAnchor editAs="oneCell">
    <xdr:from>
      <xdr:col>4</xdr:col>
      <xdr:colOff>2400</xdr:colOff>
      <xdr:row>43</xdr:row>
      <xdr:rowOff>171449</xdr:rowOff>
    </xdr:from>
    <xdr:to>
      <xdr:col>7</xdr:col>
      <xdr:colOff>2400</xdr:colOff>
      <xdr:row>60</xdr:row>
      <xdr:rowOff>8964</xdr:rowOff>
    </xdr:to>
    <xdr:sp macro="" textlink="">
      <xdr:nvSpPr>
        <xdr:cNvPr id="11" name="TextBox 10">
          <a:extLst>
            <a:ext uri="{FF2B5EF4-FFF2-40B4-BE49-F238E27FC236}">
              <a16:creationId xmlns:a16="http://schemas.microsoft.com/office/drawing/2014/main" id="{A44B39A1-B853-4E48-B935-E088430F08E8}"/>
            </a:ext>
          </a:extLst>
        </xdr:cNvPr>
        <xdr:cNvSpPr txBox="1"/>
      </xdr:nvSpPr>
      <xdr:spPr>
        <a:xfrm>
          <a:off x="8796776" y="8114178"/>
          <a:ext cx="4168589" cy="308273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lgn="ctr">
            <a:buFontTx/>
            <a:buNone/>
          </a:pPr>
          <a:r>
            <a:rPr lang="en-US" sz="1200" b="1"/>
            <a:t>Calculations</a:t>
          </a:r>
        </a:p>
        <a:p>
          <a:pPr marL="228600" marR="0" lvl="0" indent="-228600" defTabSz="914400" eaLnBrk="1" fontAlgn="auto" latinLnBrk="0" hangingPunct="1">
            <a:lnSpc>
              <a:spcPct val="100000"/>
            </a:lnSpc>
            <a:spcBef>
              <a:spcPts val="0"/>
            </a:spcBef>
            <a:spcAft>
              <a:spcPts val="0"/>
            </a:spcAft>
            <a:buClrTx/>
            <a:buSzTx/>
            <a:buFont typeface="+mj-lt"/>
            <a:buAutoNum type="arabicPeriod"/>
            <a:tabLst/>
            <a:defRPr/>
          </a:pPr>
          <a:r>
            <a:rPr lang="en-US" sz="1100" baseline="0">
              <a:solidFill>
                <a:schemeClr val="dk1"/>
              </a:solidFill>
              <a:effectLst/>
              <a:latin typeface="+mn-lt"/>
              <a:ea typeface="+mn-ea"/>
              <a:cs typeface="+mn-cs"/>
            </a:rPr>
            <a:t>Calculates your input RMS current which your input ripple capacitor(s) need to supply per phase.</a:t>
          </a:r>
          <a:endParaRPr lang="en-US" sz="1100" baseline="0"/>
        </a:p>
        <a:p>
          <a:pPr marL="228600" indent="-228600">
            <a:buFont typeface="+mj-lt"/>
            <a:buAutoNum type="arabicPeriod"/>
          </a:pPr>
          <a:r>
            <a:rPr lang="en-US" sz="1100" baseline="0"/>
            <a:t>Calculates (per phase) the minimum input capacitance, ESR and ESL to satisfy your target input ripple voltage.</a:t>
          </a:r>
        </a:p>
        <a:p>
          <a:pPr marL="228600" indent="-228600">
            <a:buFont typeface="+mj-lt"/>
            <a:buAutoNum type="arabicPeriod"/>
          </a:pPr>
          <a:r>
            <a:rPr lang="en-US" sz="1100" baseline="0"/>
            <a:t>Calculates (per phase) the minimum bulk input capacitance to meet the input reflected load step transient.</a:t>
          </a:r>
        </a:p>
        <a:p>
          <a:pPr marL="228600" indent="-228600">
            <a:buFont typeface="+mj-lt"/>
            <a:buAutoNum type="arabicPeriod"/>
          </a:pPr>
          <a:r>
            <a:rPr lang="en-US" sz="1100" baseline="0"/>
            <a:t>Calculates the minimum ZIN to meet your maximum input ripple voltage.</a:t>
          </a:r>
        </a:p>
        <a:p>
          <a:pPr marL="228600" indent="-228600">
            <a:buFont typeface="+mj-lt"/>
            <a:buAutoNum type="arabicPeriod"/>
          </a:pPr>
          <a:endParaRPr lang="en-US" sz="1100" baseline="0"/>
        </a:p>
        <a:p>
          <a:pPr marL="228600" indent="-228600">
            <a:buFont typeface="+mj-lt"/>
            <a:buAutoNum type="arabicPeriod"/>
          </a:pPr>
          <a:r>
            <a:rPr lang="en-US" sz="1100" baseline="0"/>
            <a:t>Calculates the minimum bulk input capacitance required to meet your VIN sag due to a load step.</a:t>
          </a:r>
        </a:p>
        <a:p>
          <a:pPr marL="228600" indent="-228600">
            <a:buFont typeface="+mj-lt"/>
            <a:buAutoNum type="arabicPeriod"/>
          </a:pPr>
          <a:r>
            <a:rPr lang="en-US" sz="1100" baseline="0"/>
            <a:t>Calcualtes the minimum ZIN to meet your maximum input sag due to a load step.</a:t>
          </a:r>
        </a:p>
        <a:p>
          <a:pPr marL="228600" indent="-228600">
            <a:buFont typeface="+mj-lt"/>
            <a:buAutoNum type="arabicPeriod"/>
          </a:pPr>
          <a:endParaRPr lang="en-US" sz="1100" baseline="0"/>
        </a:p>
        <a:p>
          <a:pPr marL="228600" indent="-228600">
            <a:buFont typeface="+mj-lt"/>
            <a:buAutoNum type="arabicPeriod"/>
          </a:pPr>
          <a:r>
            <a:rPr lang="en-US" sz="1100" baseline="0"/>
            <a:t>Calculates the ESL and ZIN required to minimize your FET transient spikes.</a:t>
          </a:r>
        </a:p>
      </xdr:txBody>
    </xdr:sp>
    <xdr:clientData/>
  </xdr:twoCellAnchor>
  <xdr:twoCellAnchor editAs="oneCell">
    <xdr:from>
      <xdr:col>4</xdr:col>
      <xdr:colOff>19610</xdr:colOff>
      <xdr:row>59</xdr:row>
      <xdr:rowOff>42585</xdr:rowOff>
    </xdr:from>
    <xdr:to>
      <xdr:col>7</xdr:col>
      <xdr:colOff>17929</xdr:colOff>
      <xdr:row>71</xdr:row>
      <xdr:rowOff>127187</xdr:rowOff>
    </xdr:to>
    <xdr:sp macro="" textlink="">
      <xdr:nvSpPr>
        <xdr:cNvPr id="4" name="TextBox 3">
          <a:extLst>
            <a:ext uri="{FF2B5EF4-FFF2-40B4-BE49-F238E27FC236}">
              <a16:creationId xmlns:a16="http://schemas.microsoft.com/office/drawing/2014/main" id="{2BB1F38E-335F-4C84-BA54-65FC5FA31A85}"/>
            </a:ext>
          </a:extLst>
        </xdr:cNvPr>
        <xdr:cNvSpPr txBox="1"/>
      </xdr:nvSpPr>
      <xdr:spPr>
        <a:xfrm>
          <a:off x="8813986" y="11051244"/>
          <a:ext cx="4166908" cy="232577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lgn="ctr">
            <a:buFontTx/>
            <a:buNone/>
          </a:pPr>
          <a:r>
            <a:rPr lang="en-US" sz="1200" b="1"/>
            <a:t>Ripple and Bulk CIN</a:t>
          </a:r>
          <a:r>
            <a:rPr lang="en-US" sz="1200" b="1" baseline="0"/>
            <a:t> 1</a:t>
          </a:r>
          <a:endParaRPr lang="en-US" sz="1200" b="1"/>
        </a:p>
        <a:p>
          <a:pPr marL="228600" indent="-228600">
            <a:buFont typeface="+mj-lt"/>
            <a:buAutoNum type="arabicPeriod"/>
          </a:pPr>
          <a:r>
            <a:rPr lang="en-US" sz="1100"/>
            <a:t>Select a capacitor (or</a:t>
          </a:r>
          <a:r>
            <a:rPr lang="en-US" sz="1100" baseline="0"/>
            <a:t> multiples in parallel)</a:t>
          </a:r>
          <a:r>
            <a:rPr lang="en-US" sz="1100"/>
            <a:t> to meet your RMS current requirement and minimum ripple input capacitance and the</a:t>
          </a:r>
          <a:r>
            <a:rPr lang="en-US" sz="1100" baseline="0"/>
            <a:t> maximum ESR.</a:t>
          </a:r>
        </a:p>
        <a:p>
          <a:pPr marL="228600" indent="-228600">
            <a:buFont typeface="+mj-lt"/>
            <a:buAutoNum type="arabicPeriod"/>
          </a:pPr>
          <a:r>
            <a:rPr lang="en-US" sz="1100" baseline="0"/>
            <a:t>Set your resonant frequency of capacitor equal to switching frequency (f</a:t>
          </a:r>
          <a:r>
            <a:rPr lang="en-US" sz="1100" baseline="-25000"/>
            <a:t>SW</a:t>
          </a:r>
          <a:r>
            <a:rPr lang="en-US" sz="1100" baseline="0"/>
            <a:t>).</a:t>
          </a:r>
        </a:p>
        <a:p>
          <a:pPr marL="228600" indent="-228600">
            <a:buFont typeface="+mj-lt"/>
            <a:buAutoNum type="arabicPeriod"/>
          </a:pPr>
          <a:r>
            <a:rPr lang="en-US" sz="1100" baseline="0"/>
            <a:t>Ceramics are the best, however, low ESR tantalum are an acceptable alternative if </a:t>
          </a:r>
          <a:r>
            <a:rPr lang="en-US" sz="1100" baseline="0">
              <a:solidFill>
                <a:schemeClr val="dk1"/>
              </a:solidFill>
              <a:effectLst/>
              <a:latin typeface="+mn-lt"/>
              <a:ea typeface="+mn-ea"/>
              <a:cs typeface="+mn-cs"/>
            </a:rPr>
            <a:t>space-rated ceramic of this capacity are not feasible.</a:t>
          </a:r>
        </a:p>
        <a:p>
          <a:pPr marL="228600" indent="-228600">
            <a:buFont typeface="+mj-lt"/>
            <a:buAutoNum type="arabicPeriod"/>
          </a:pPr>
          <a:r>
            <a:rPr lang="en-US" sz="1100" baseline="0">
              <a:solidFill>
                <a:schemeClr val="dk1"/>
              </a:solidFill>
              <a:effectLst/>
              <a:latin typeface="+mn-lt"/>
              <a:ea typeface="+mn-ea"/>
              <a:cs typeface="+mn-cs"/>
            </a:rPr>
            <a:t>The impedance of these capacitors, Z</a:t>
          </a:r>
          <a:r>
            <a:rPr lang="en-US" sz="1100" baseline="-25000">
              <a:solidFill>
                <a:schemeClr val="dk1"/>
              </a:solidFill>
              <a:effectLst/>
              <a:latin typeface="+mn-lt"/>
              <a:ea typeface="+mn-ea"/>
              <a:cs typeface="+mn-cs"/>
            </a:rPr>
            <a:t>1(TOTAL)</a:t>
          </a:r>
          <a:r>
            <a:rPr lang="en-US" sz="1100" baseline="0">
              <a:solidFill>
                <a:schemeClr val="dk1"/>
              </a:solidFill>
              <a:effectLst/>
              <a:latin typeface="+mn-lt"/>
              <a:ea typeface="+mn-ea"/>
              <a:cs typeface="+mn-cs"/>
            </a:rPr>
            <a:t>, should be lower than Z</a:t>
          </a:r>
          <a:r>
            <a:rPr lang="en-US" sz="1100" baseline="-25000">
              <a:solidFill>
                <a:schemeClr val="dk1"/>
              </a:solidFill>
              <a:effectLst/>
              <a:latin typeface="+mn-lt"/>
              <a:ea typeface="+mn-ea"/>
              <a:cs typeface="+mn-cs"/>
            </a:rPr>
            <a:t>IN(MIN))</a:t>
          </a:r>
          <a:r>
            <a:rPr lang="en-US" sz="1100" baseline="0">
              <a:solidFill>
                <a:schemeClr val="dk1"/>
              </a:solidFill>
              <a:effectLst/>
              <a:latin typeface="+mn-lt"/>
              <a:ea typeface="+mn-ea"/>
              <a:cs typeface="+mn-cs"/>
            </a:rPr>
            <a:t> at the switching frequency, f</a:t>
          </a:r>
          <a:r>
            <a:rPr lang="en-US" sz="1100" baseline="-25000">
              <a:solidFill>
                <a:schemeClr val="dk1"/>
              </a:solidFill>
              <a:effectLst/>
              <a:latin typeface="+mn-lt"/>
              <a:ea typeface="+mn-ea"/>
              <a:cs typeface="+mn-cs"/>
            </a:rPr>
            <a:t>SW</a:t>
          </a:r>
          <a:r>
            <a:rPr lang="en-US" sz="1100" baseline="0">
              <a:solidFill>
                <a:schemeClr val="dk1"/>
              </a:solidFill>
              <a:effectLst/>
              <a:latin typeface="+mn-lt"/>
              <a:ea typeface="+mn-ea"/>
              <a:cs typeface="+mn-cs"/>
            </a:rPr>
            <a:t>. </a:t>
          </a:r>
          <a:endParaRPr lang="en-US" sz="1100"/>
        </a:p>
      </xdr:txBody>
    </xdr:sp>
    <xdr:clientData/>
  </xdr:twoCellAnchor>
  <xdr:twoCellAnchor editAs="absolute">
    <xdr:from>
      <xdr:col>0</xdr:col>
      <xdr:colOff>68035</xdr:colOff>
      <xdr:row>0</xdr:row>
      <xdr:rowOff>68036</xdr:rowOff>
    </xdr:from>
    <xdr:to>
      <xdr:col>2</xdr:col>
      <xdr:colOff>570059</xdr:colOff>
      <xdr:row>19</xdr:row>
      <xdr:rowOff>106136</xdr:rowOff>
    </xdr:to>
    <xdr:graphicFrame macro="">
      <xdr:nvGraphicFramePr>
        <xdr:cNvPr id="7" name="1">
          <a:extLst>
            <a:ext uri="{FF2B5EF4-FFF2-40B4-BE49-F238E27FC236}">
              <a16:creationId xmlns:a16="http://schemas.microsoft.com/office/drawing/2014/main" id="{23E1ABCE-4882-4926-94F0-AF3D4F50A64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4</xdr:col>
      <xdr:colOff>42582</xdr:colOff>
      <xdr:row>70</xdr:row>
      <xdr:rowOff>18488</xdr:rowOff>
    </xdr:from>
    <xdr:to>
      <xdr:col>7</xdr:col>
      <xdr:colOff>71718</xdr:colOff>
      <xdr:row>84</xdr:row>
      <xdr:rowOff>33617</xdr:rowOff>
    </xdr:to>
    <xdr:sp macro="" textlink="">
      <xdr:nvSpPr>
        <xdr:cNvPr id="5" name="TextBox 4">
          <a:extLst>
            <a:ext uri="{FF2B5EF4-FFF2-40B4-BE49-F238E27FC236}">
              <a16:creationId xmlns:a16="http://schemas.microsoft.com/office/drawing/2014/main" id="{C3AB7E56-AF20-45D8-85D5-A1E5CC9AEA04}"/>
            </a:ext>
          </a:extLst>
        </xdr:cNvPr>
        <xdr:cNvSpPr txBox="1"/>
      </xdr:nvSpPr>
      <xdr:spPr>
        <a:xfrm>
          <a:off x="8836958" y="13089029"/>
          <a:ext cx="4197725" cy="261489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lgn="ctr">
            <a:buFontTx/>
            <a:buNone/>
          </a:pPr>
          <a:r>
            <a:rPr lang="en-US" sz="1200" b="1"/>
            <a:t>Ripple and Bulk CIN</a:t>
          </a:r>
          <a:r>
            <a:rPr lang="en-US" sz="1200" b="1" baseline="0"/>
            <a:t> 2</a:t>
          </a:r>
          <a:endParaRPr lang="en-US" sz="1200" b="1"/>
        </a:p>
        <a:p>
          <a:pPr marL="228600" indent="-228600">
            <a:buFont typeface="+mj-lt"/>
            <a:buAutoNum type="arabicPeriod"/>
          </a:pPr>
          <a:r>
            <a:rPr lang="en-US" sz="1100">
              <a:solidFill>
                <a:schemeClr val="dk1"/>
              </a:solidFill>
              <a:effectLst/>
              <a:latin typeface="+mn-lt"/>
              <a:ea typeface="+mn-ea"/>
              <a:cs typeface="+mn-cs"/>
            </a:rPr>
            <a:t>This is an</a:t>
          </a:r>
          <a:r>
            <a:rPr lang="en-US" sz="1100" baseline="0">
              <a:solidFill>
                <a:schemeClr val="dk1"/>
              </a:solidFill>
              <a:effectLst/>
              <a:latin typeface="+mn-lt"/>
              <a:ea typeface="+mn-ea"/>
              <a:cs typeface="+mn-cs"/>
            </a:rPr>
            <a:t> option in case you want to mix capacitors.</a:t>
          </a:r>
          <a:endParaRPr lang="en-US" sz="1100">
            <a:solidFill>
              <a:schemeClr val="dk1"/>
            </a:solidFill>
            <a:effectLst/>
            <a:latin typeface="+mn-lt"/>
            <a:ea typeface="+mn-ea"/>
            <a:cs typeface="+mn-cs"/>
          </a:endParaRPr>
        </a:p>
        <a:p>
          <a:pPr marL="228600" indent="-228600">
            <a:buFont typeface="+mj-lt"/>
            <a:buAutoNum type="arabicPeriod"/>
          </a:pPr>
          <a:r>
            <a:rPr lang="en-US" sz="1100">
              <a:solidFill>
                <a:schemeClr val="dk1"/>
              </a:solidFill>
              <a:effectLst/>
              <a:latin typeface="+mn-lt"/>
              <a:ea typeface="+mn-ea"/>
              <a:cs typeface="+mn-cs"/>
            </a:rPr>
            <a:t>Select a capacitor to meet your RMS current requirement and minimum ripple input capacitance and the</a:t>
          </a:r>
          <a:r>
            <a:rPr lang="en-US" sz="1100" baseline="0">
              <a:solidFill>
                <a:schemeClr val="dk1"/>
              </a:solidFill>
              <a:effectLst/>
              <a:latin typeface="+mn-lt"/>
              <a:ea typeface="+mn-ea"/>
              <a:cs typeface="+mn-cs"/>
            </a:rPr>
            <a:t> maximum ESR.</a:t>
          </a:r>
        </a:p>
        <a:p>
          <a:pPr marL="228600" marR="0" lvl="0" indent="-228600" defTabSz="914400" eaLnBrk="1" fontAlgn="auto" latinLnBrk="0" hangingPunct="1">
            <a:lnSpc>
              <a:spcPct val="100000"/>
            </a:lnSpc>
            <a:spcBef>
              <a:spcPts val="0"/>
            </a:spcBef>
            <a:spcAft>
              <a:spcPts val="0"/>
            </a:spcAft>
            <a:buClrTx/>
            <a:buSzTx/>
            <a:buFont typeface="+mj-lt"/>
            <a:buAutoNum type="arabicPeriod"/>
            <a:tabLst/>
            <a:defRPr/>
          </a:pPr>
          <a:r>
            <a:rPr lang="en-US" sz="1100" baseline="0">
              <a:solidFill>
                <a:schemeClr val="dk1"/>
              </a:solidFill>
              <a:effectLst/>
              <a:latin typeface="+mn-lt"/>
              <a:ea typeface="+mn-ea"/>
              <a:cs typeface="+mn-cs"/>
            </a:rPr>
            <a:t>Set your resonant frequency of capacitor equal to switching frequency (f</a:t>
          </a:r>
          <a:r>
            <a:rPr lang="en-US" sz="1100" baseline="-25000">
              <a:solidFill>
                <a:schemeClr val="dk1"/>
              </a:solidFill>
              <a:effectLst/>
              <a:latin typeface="+mn-lt"/>
              <a:ea typeface="+mn-ea"/>
              <a:cs typeface="+mn-cs"/>
            </a:rPr>
            <a:t>SW</a:t>
          </a:r>
          <a:r>
            <a:rPr lang="en-US" sz="1100" baseline="0">
              <a:solidFill>
                <a:schemeClr val="dk1"/>
              </a:solidFill>
              <a:effectLst/>
              <a:latin typeface="+mn-lt"/>
              <a:ea typeface="+mn-ea"/>
              <a:cs typeface="+mn-cs"/>
            </a:rPr>
            <a:t>)</a:t>
          </a:r>
        </a:p>
        <a:p>
          <a:pPr marL="228600" indent="-228600">
            <a:buFont typeface="+mj-lt"/>
            <a:buAutoNum type="arabicPeriod"/>
          </a:pPr>
          <a:r>
            <a:rPr lang="en-US" sz="1100" baseline="0">
              <a:solidFill>
                <a:schemeClr val="dk1"/>
              </a:solidFill>
              <a:effectLst/>
              <a:latin typeface="+mn-lt"/>
              <a:ea typeface="+mn-ea"/>
              <a:cs typeface="+mn-cs"/>
            </a:rPr>
            <a:t>Ceramics are the best, however, low ESR tantalum are an acceptable alternative if space-rated ceramic of this capacity are not feasible.</a:t>
          </a:r>
        </a:p>
        <a:p>
          <a:pPr marL="228600" marR="0" lvl="0" indent="-228600" defTabSz="914400" eaLnBrk="1" fontAlgn="auto" latinLnBrk="0" hangingPunct="1">
            <a:lnSpc>
              <a:spcPct val="100000"/>
            </a:lnSpc>
            <a:spcBef>
              <a:spcPts val="0"/>
            </a:spcBef>
            <a:spcAft>
              <a:spcPts val="0"/>
            </a:spcAft>
            <a:buClrTx/>
            <a:buSzTx/>
            <a:buFont typeface="+mj-lt"/>
            <a:buAutoNum type="arabicPeriod"/>
            <a:tabLst/>
            <a:defRPr/>
          </a:pPr>
          <a:r>
            <a:rPr lang="en-US" sz="1100" baseline="0">
              <a:solidFill>
                <a:schemeClr val="dk1"/>
              </a:solidFill>
              <a:effectLst/>
              <a:latin typeface="+mn-lt"/>
              <a:ea typeface="+mn-ea"/>
              <a:cs typeface="+mn-cs"/>
            </a:rPr>
            <a:t>The impedance of these capacitors, Z</a:t>
          </a:r>
          <a:r>
            <a:rPr lang="en-US" sz="1100" baseline="-25000">
              <a:solidFill>
                <a:schemeClr val="dk1"/>
              </a:solidFill>
              <a:effectLst/>
              <a:latin typeface="+mn-lt"/>
              <a:ea typeface="+mn-ea"/>
              <a:cs typeface="+mn-cs"/>
            </a:rPr>
            <a:t>1(TOTAL)</a:t>
          </a:r>
          <a:r>
            <a:rPr lang="en-US" sz="1100" baseline="0">
              <a:solidFill>
                <a:schemeClr val="dk1"/>
              </a:solidFill>
              <a:effectLst/>
              <a:latin typeface="+mn-lt"/>
              <a:ea typeface="+mn-ea"/>
              <a:cs typeface="+mn-cs"/>
            </a:rPr>
            <a:t>, should be lower than Z</a:t>
          </a:r>
          <a:r>
            <a:rPr lang="en-US" sz="1100" baseline="-25000">
              <a:solidFill>
                <a:schemeClr val="dk1"/>
              </a:solidFill>
              <a:effectLst/>
              <a:latin typeface="+mn-lt"/>
              <a:ea typeface="+mn-ea"/>
              <a:cs typeface="+mn-cs"/>
            </a:rPr>
            <a:t>IN(MIN))</a:t>
          </a:r>
          <a:r>
            <a:rPr lang="en-US" sz="1100" baseline="0">
              <a:solidFill>
                <a:schemeClr val="dk1"/>
              </a:solidFill>
              <a:effectLst/>
              <a:latin typeface="+mn-lt"/>
              <a:ea typeface="+mn-ea"/>
              <a:cs typeface="+mn-cs"/>
            </a:rPr>
            <a:t> at the switching frequency, f</a:t>
          </a:r>
          <a:r>
            <a:rPr lang="en-US" sz="1100" baseline="-25000">
              <a:solidFill>
                <a:schemeClr val="dk1"/>
              </a:solidFill>
              <a:effectLst/>
              <a:latin typeface="+mn-lt"/>
              <a:ea typeface="+mn-ea"/>
              <a:cs typeface="+mn-cs"/>
            </a:rPr>
            <a:t>SW</a:t>
          </a:r>
          <a:r>
            <a:rPr lang="en-US" sz="1100" baseline="0">
              <a:solidFill>
                <a:schemeClr val="dk1"/>
              </a:solidFill>
              <a:effectLst/>
              <a:latin typeface="+mn-lt"/>
              <a:ea typeface="+mn-ea"/>
              <a:cs typeface="+mn-cs"/>
            </a:rPr>
            <a:t>. </a:t>
          </a:r>
          <a:endParaRPr lang="en-US" sz="1100">
            <a:effectLst/>
          </a:endParaRPr>
        </a:p>
        <a:p>
          <a:pPr marL="228600" indent="-228600">
            <a:buFont typeface="+mj-lt"/>
            <a:buAutoNum type="arabicPeriod"/>
          </a:pPr>
          <a:r>
            <a:rPr lang="en-US" sz="1100" baseline="0"/>
            <a:t>This one can be your bulk input capacitance if you need it.</a:t>
          </a:r>
        </a:p>
      </xdr:txBody>
    </xdr:sp>
    <xdr:clientData/>
  </xdr:twoCellAnchor>
  <xdr:twoCellAnchor editAs="oneCell">
    <xdr:from>
      <xdr:col>4</xdr:col>
      <xdr:colOff>60511</xdr:colOff>
      <xdr:row>81</xdr:row>
      <xdr:rowOff>59951</xdr:rowOff>
    </xdr:from>
    <xdr:to>
      <xdr:col>7</xdr:col>
      <xdr:colOff>38101</xdr:colOff>
      <xdr:row>98</xdr:row>
      <xdr:rowOff>138953</xdr:rowOff>
    </xdr:to>
    <xdr:sp macro="" textlink="">
      <xdr:nvSpPr>
        <xdr:cNvPr id="6" name="TextBox 5">
          <a:extLst>
            <a:ext uri="{FF2B5EF4-FFF2-40B4-BE49-F238E27FC236}">
              <a16:creationId xmlns:a16="http://schemas.microsoft.com/office/drawing/2014/main" id="{19C502E9-3A05-4C83-A400-80C9572530ED}"/>
            </a:ext>
          </a:extLst>
        </xdr:cNvPr>
        <xdr:cNvSpPr txBox="1"/>
      </xdr:nvSpPr>
      <xdr:spPr>
        <a:xfrm>
          <a:off x="8854887" y="15192375"/>
          <a:ext cx="4146179" cy="334215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lgn="ctr">
            <a:buFontTx/>
            <a:buNone/>
          </a:pPr>
          <a:r>
            <a:rPr lang="en-US" sz="1200" b="1"/>
            <a:t>low</a:t>
          </a:r>
          <a:r>
            <a:rPr lang="en-US" sz="1200" b="1" baseline="0"/>
            <a:t>-ESL, low-value ceramic CIN</a:t>
          </a:r>
          <a:endParaRPr lang="en-US" sz="1200" b="1"/>
        </a:p>
        <a:p>
          <a:pPr marL="228600" indent="-228600">
            <a:buFont typeface="+mj-lt"/>
            <a:buAutoNum type="arabicPeriod"/>
          </a:pPr>
          <a:r>
            <a:rPr lang="en-US" sz="1100"/>
            <a:t>The high dI/dt</a:t>
          </a:r>
          <a:r>
            <a:rPr lang="en-US" sz="1100" baseline="0"/>
            <a:t> of the FET transitioning causes high voltage spikes and ringing at the input and phase node. To alleiviate it place small ceramics as close as possible to the FETs drains.</a:t>
          </a:r>
        </a:p>
        <a:p>
          <a:pPr marL="228600" indent="-228600">
            <a:buFont typeface="+mj-lt"/>
            <a:buAutoNum type="arabicPeriod"/>
          </a:pPr>
          <a:r>
            <a:rPr lang="en-US" sz="1100" baseline="0"/>
            <a:t>Choose your resonant frequency of capacitor equal to FET transition frequency (f</a:t>
          </a:r>
          <a:r>
            <a:rPr lang="en-US" sz="1100" baseline="-25000"/>
            <a:t>TRANSITION</a:t>
          </a:r>
          <a:r>
            <a:rPr lang="en-US" sz="1100" baseline="0"/>
            <a:t>).</a:t>
          </a:r>
        </a:p>
        <a:p>
          <a:pPr marL="228600" indent="-228600">
            <a:buFont typeface="+mj-lt"/>
            <a:buAutoNum type="arabicPeriod"/>
          </a:pPr>
          <a:r>
            <a:rPr lang="en-US" sz="1100" baseline="0">
              <a:solidFill>
                <a:schemeClr val="dk1"/>
              </a:solidFill>
              <a:effectLst/>
              <a:latin typeface="+mn-lt"/>
              <a:ea typeface="+mn-ea"/>
              <a:cs typeface="+mn-cs"/>
            </a:rPr>
            <a:t>Ceramics are recommended. 1-2 100nF 0603 are usually sufficient.</a:t>
          </a:r>
          <a:endParaRPr lang="en-US" sz="1100" baseline="0"/>
        </a:p>
      </xdr:txBody>
    </xdr:sp>
    <xdr:clientData/>
  </xdr:twoCellAnchor>
  <xdr:twoCellAnchor editAs="oneCell">
    <xdr:from>
      <xdr:col>4</xdr:col>
      <xdr:colOff>32497</xdr:colOff>
      <xdr:row>88</xdr:row>
      <xdr:rowOff>196100</xdr:rowOff>
    </xdr:from>
    <xdr:to>
      <xdr:col>7</xdr:col>
      <xdr:colOff>26895</xdr:colOff>
      <xdr:row>117</xdr:row>
      <xdr:rowOff>107576</xdr:rowOff>
    </xdr:to>
    <xdr:sp macro="" textlink="">
      <xdr:nvSpPr>
        <xdr:cNvPr id="8" name="TextBox 7">
          <a:extLst>
            <a:ext uri="{FF2B5EF4-FFF2-40B4-BE49-F238E27FC236}">
              <a16:creationId xmlns:a16="http://schemas.microsoft.com/office/drawing/2014/main" id="{73A51116-4B46-4535-9884-08F4AB6BFEE6}"/>
            </a:ext>
          </a:extLst>
        </xdr:cNvPr>
        <xdr:cNvSpPr txBox="1"/>
      </xdr:nvSpPr>
      <xdr:spPr>
        <a:xfrm>
          <a:off x="8826873" y="16637371"/>
          <a:ext cx="4162987" cy="568474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lgn="ctr">
            <a:buFontTx/>
            <a:buNone/>
          </a:pPr>
          <a:r>
            <a:rPr lang="en-US" sz="1200" b="1"/>
            <a:t>Input Ripple</a:t>
          </a:r>
        </a:p>
        <a:p>
          <a:pPr marL="228600" indent="-228600">
            <a:buFont typeface="+mj-lt"/>
            <a:buAutoNum type="arabicPeriod"/>
          </a:pPr>
          <a:r>
            <a:rPr lang="en-US" sz="1100" baseline="0"/>
            <a:t>The group of cells to the left calculates the equivalent capacitance and ESR of all the different capacitors in parallel, it calculates the equivalent reactance of this equivalent capacitance,  and the expected ripple voltage all at the switching frequency, f</a:t>
          </a:r>
          <a:r>
            <a:rPr lang="en-US" sz="1100" baseline="-25000"/>
            <a:t>SW</a:t>
          </a:r>
          <a:r>
            <a:rPr lang="en-US" sz="1100" baseline="0"/>
            <a:t>.</a:t>
          </a:r>
        </a:p>
        <a:p>
          <a:pPr marL="228600" indent="-228600">
            <a:buFont typeface="+mj-lt"/>
            <a:buAutoNum type="arabicPeriod"/>
          </a:pPr>
          <a:r>
            <a:rPr lang="en-US" sz="1100" baseline="0"/>
            <a:t>If the capacitance, ESR, and voltage ripple meet the target requirements a "GOOD" is written next to the respective cells. If it does not, "BAD" is written.</a:t>
          </a:r>
        </a:p>
        <a:p>
          <a:pPr marL="228600" indent="-228600">
            <a:buFont typeface="+mj-lt"/>
            <a:buAutoNum type="arabicPeriod"/>
          </a:pPr>
          <a:r>
            <a:rPr lang="en-US" sz="1100" baseline="0"/>
            <a:t>All should be "GOOD".</a:t>
          </a:r>
        </a:p>
        <a:p>
          <a:pPr marL="228600" indent="-228600">
            <a:buFont typeface="+mj-lt"/>
            <a:buAutoNum type="arabicPeriod"/>
          </a:pPr>
          <a:r>
            <a:rPr lang="en-US" sz="1100" baseline="0"/>
            <a:t>Note these cells don't include the effects of ESL.</a:t>
          </a:r>
        </a:p>
        <a:p>
          <a:pPr marL="228600" indent="-228600">
            <a:buFont typeface="+mj-lt"/>
            <a:buAutoNum type="arabicPeriod"/>
          </a:pPr>
          <a:r>
            <a:rPr lang="en-US" sz="1100" baseline="0"/>
            <a:t>Lastly the input RMS current per capacitor is calculated. The Max RMS Ripple Current of your capacitor should be larger than this.</a:t>
          </a:r>
        </a:p>
        <a:p>
          <a:pPr marL="228600" indent="-228600">
            <a:buFont typeface="+mj-lt"/>
            <a:buAutoNum type="arabicPeriod"/>
          </a:pPr>
          <a:endParaRPr lang="en-US" sz="1100" baseline="0"/>
        </a:p>
      </xdr:txBody>
    </xdr:sp>
    <xdr:clientData/>
  </xdr:twoCellAnchor>
  <xdr:twoCellAnchor editAs="oneCell">
    <xdr:from>
      <xdr:col>4</xdr:col>
      <xdr:colOff>94690</xdr:colOff>
      <xdr:row>112</xdr:row>
      <xdr:rowOff>128867</xdr:rowOff>
    </xdr:from>
    <xdr:to>
      <xdr:col>7</xdr:col>
      <xdr:colOff>89647</xdr:colOff>
      <xdr:row>135</xdr:row>
      <xdr:rowOff>42583</xdr:rowOff>
    </xdr:to>
    <xdr:sp macro="" textlink="">
      <xdr:nvSpPr>
        <xdr:cNvPr id="9" name="TextBox 8">
          <a:extLst>
            <a:ext uri="{FF2B5EF4-FFF2-40B4-BE49-F238E27FC236}">
              <a16:creationId xmlns:a16="http://schemas.microsoft.com/office/drawing/2014/main" id="{1861455D-C0F4-4105-8EEA-6B8BB560F2F8}"/>
            </a:ext>
          </a:extLst>
        </xdr:cNvPr>
        <xdr:cNvSpPr txBox="1"/>
      </xdr:nvSpPr>
      <xdr:spPr>
        <a:xfrm>
          <a:off x="8889066" y="21375220"/>
          <a:ext cx="4163546" cy="441399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lgn="ctr">
            <a:buFontTx/>
            <a:buNone/>
          </a:pPr>
          <a:r>
            <a:rPr lang="en-US" sz="1200" b="1"/>
            <a:t>Load Step </a:t>
          </a:r>
        </a:p>
        <a:p>
          <a:pPr marL="228600" indent="-228600">
            <a:buFont typeface="+mj-lt"/>
            <a:buAutoNum type="arabicPeriod"/>
          </a:pPr>
          <a:r>
            <a:rPr lang="en-US" sz="1100" baseline="0"/>
            <a:t>The group of cells to the left calculates the equivalent capacitance and ESR of all the different capacitors in parallel, it calculates the equivalent reactance of this equivalent capacitance, the equivalent ESR of these parallel capacitors, and the expected ripple voltage all at the input LC low-pass filter.</a:t>
          </a:r>
        </a:p>
        <a:p>
          <a:pPr marL="228600" indent="-228600">
            <a:buFont typeface="+mj-lt"/>
            <a:buAutoNum type="arabicPeriod"/>
          </a:pPr>
          <a:r>
            <a:rPr lang="en-US" sz="1100" baseline="0"/>
            <a:t>Not these cells don't include the effects of capacitor ESL.</a:t>
          </a:r>
        </a:p>
        <a:p>
          <a:pPr marL="228600" indent="-228600">
            <a:buFont typeface="+mj-lt"/>
            <a:buAutoNum type="arabicPeriod"/>
          </a:pPr>
          <a:r>
            <a:rPr lang="en-US" sz="1100" baseline="0"/>
            <a:t>If the capacitance,  </a:t>
          </a:r>
          <a:r>
            <a:rPr lang="el-GR" sz="1100" baseline="0"/>
            <a:t>Δ</a:t>
          </a:r>
          <a:r>
            <a:rPr lang="en-US" sz="1100" baseline="0"/>
            <a:t>VIN deviation, and input impedance meet the target requirements a "GOOD" is written next to the respective cells. If it does not, "BAD" is written.</a:t>
          </a:r>
        </a:p>
        <a:p>
          <a:pPr marL="228600" indent="-228600">
            <a:buFont typeface="+mj-lt"/>
            <a:buAutoNum type="arabicPeriod"/>
          </a:pPr>
          <a:r>
            <a:rPr lang="en-US" sz="1100" baseline="0"/>
            <a:t>Note these cells don't include the effects of ESL.</a:t>
          </a:r>
        </a:p>
      </xdr:txBody>
    </xdr:sp>
    <xdr:clientData/>
  </xdr:twoCellAnchor>
  <xdr:twoCellAnchor editAs="oneCell">
    <xdr:from>
      <xdr:col>4</xdr:col>
      <xdr:colOff>3362</xdr:colOff>
      <xdr:row>133</xdr:row>
      <xdr:rowOff>3363</xdr:rowOff>
    </xdr:from>
    <xdr:to>
      <xdr:col>7</xdr:col>
      <xdr:colOff>22412</xdr:colOff>
      <xdr:row>142</xdr:row>
      <xdr:rowOff>33619</xdr:rowOff>
    </xdr:to>
    <xdr:sp macro="" textlink="">
      <xdr:nvSpPr>
        <xdr:cNvPr id="10" name="TextBox 9">
          <a:extLst>
            <a:ext uri="{FF2B5EF4-FFF2-40B4-BE49-F238E27FC236}">
              <a16:creationId xmlns:a16="http://schemas.microsoft.com/office/drawing/2014/main" id="{A45EE4F3-BFD1-4055-B463-237531945C3D}"/>
            </a:ext>
          </a:extLst>
        </xdr:cNvPr>
        <xdr:cNvSpPr txBox="1"/>
      </xdr:nvSpPr>
      <xdr:spPr>
        <a:xfrm>
          <a:off x="8553450" y="28208569"/>
          <a:ext cx="4064374" cy="18792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lgn="ctr">
            <a:buFontTx/>
            <a:buNone/>
          </a:pPr>
          <a:r>
            <a:rPr lang="en-US" sz="1200" b="1"/>
            <a:t>FET</a:t>
          </a:r>
          <a:r>
            <a:rPr lang="en-US" sz="1200" b="1" baseline="0"/>
            <a:t> Transition</a:t>
          </a:r>
          <a:endParaRPr lang="en-US" sz="1200" b="1"/>
        </a:p>
        <a:p>
          <a:pPr marL="228600" indent="-228600">
            <a:buFont typeface="+mj-lt"/>
            <a:buAutoNum type="arabicPeriod"/>
          </a:pPr>
          <a:r>
            <a:rPr lang="en-US" sz="1100" baseline="0"/>
            <a:t>The group of cells to the left calculates the equivalent impedance and the </a:t>
          </a:r>
          <a:r>
            <a:rPr lang="el-GR" sz="1100" baseline="0"/>
            <a:t>Δ</a:t>
          </a:r>
          <a:r>
            <a:rPr lang="en-US" sz="1100" baseline="0"/>
            <a:t>VIN deviation due to the FET ON/OFF transition, f</a:t>
          </a:r>
          <a:r>
            <a:rPr lang="en-US" sz="1100" baseline="-25000"/>
            <a:t>TRANSITION</a:t>
          </a:r>
          <a:r>
            <a:rPr lang="en-US" sz="1100" baseline="0"/>
            <a:t>.</a:t>
          </a:r>
        </a:p>
        <a:p>
          <a:pPr marL="228600" indent="-228600">
            <a:buFont typeface="+mj-lt"/>
            <a:buAutoNum type="arabicPeriod"/>
          </a:pPr>
          <a:r>
            <a:rPr lang="en-US" sz="1100" baseline="0"/>
            <a:t>If the total equivalent impedance and </a:t>
          </a:r>
          <a:r>
            <a:rPr lang="el-GR" sz="1100" baseline="0"/>
            <a:t>Δ</a:t>
          </a:r>
          <a:r>
            <a:rPr lang="en-US" sz="1100" baseline="0"/>
            <a:t>VIN deviation meet the target requirements a "Good" is written next to the respective cells. If it does not, "Bad" is written.</a:t>
          </a:r>
        </a:p>
        <a:p>
          <a:pPr marL="228600" indent="-228600">
            <a:buFont typeface="+mj-lt"/>
            <a:buAutoNum type="arabicPeriod"/>
          </a:pPr>
          <a:r>
            <a:rPr lang="en-US" sz="1100" baseline="0"/>
            <a:t>Note these cells DO calculate the effects of ESL.</a:t>
          </a:r>
        </a:p>
        <a:p>
          <a:pPr marL="228600" indent="-228600">
            <a:buFont typeface="+mj-lt"/>
            <a:buAutoNum type="arabicPeriod"/>
          </a:pPr>
          <a:r>
            <a:rPr lang="en-US" sz="1100" baseline="0"/>
            <a:t>Ignore the "GOOD" or "BAD" If you are not using that particular capacitor in your design.</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23532</xdr:colOff>
      <xdr:row>5</xdr:row>
      <xdr:rowOff>2001</xdr:rowOff>
    </xdr:from>
    <xdr:to>
      <xdr:col>10</xdr:col>
      <xdr:colOff>144690</xdr:colOff>
      <xdr:row>26</xdr:row>
      <xdr:rowOff>195549</xdr:rowOff>
    </xdr:to>
    <xdr:graphicFrame macro="">
      <xdr:nvGraphicFramePr>
        <xdr:cNvPr id="2" name="1">
          <a:extLst>
            <a:ext uri="{FF2B5EF4-FFF2-40B4-BE49-F238E27FC236}">
              <a16:creationId xmlns:a16="http://schemas.microsoft.com/office/drawing/2014/main" id="{CD9E9827-9B8E-4EEB-9E1B-010798DE0F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28575</xdr:colOff>
      <xdr:row>28</xdr:row>
      <xdr:rowOff>57150</xdr:rowOff>
    </xdr:from>
    <xdr:to>
      <xdr:col>10</xdr:col>
      <xdr:colOff>314325</xdr:colOff>
      <xdr:row>49</xdr:row>
      <xdr:rowOff>19050</xdr:rowOff>
    </xdr:to>
    <xdr:graphicFrame macro="">
      <xdr:nvGraphicFramePr>
        <xdr:cNvPr id="6" name="2">
          <a:extLst>
            <a:ext uri="{FF2B5EF4-FFF2-40B4-BE49-F238E27FC236}">
              <a16:creationId xmlns:a16="http://schemas.microsoft.com/office/drawing/2014/main" id="{13FC8171-7686-432B-808C-45EE458461C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28575</xdr:colOff>
      <xdr:row>50</xdr:row>
      <xdr:rowOff>28575</xdr:rowOff>
    </xdr:from>
    <xdr:to>
      <xdr:col>10</xdr:col>
      <xdr:colOff>149733</xdr:colOff>
      <xdr:row>72</xdr:row>
      <xdr:rowOff>69723</xdr:rowOff>
    </xdr:to>
    <xdr:graphicFrame macro="">
      <xdr:nvGraphicFramePr>
        <xdr:cNvPr id="3" name="1">
          <a:extLst>
            <a:ext uri="{FF2B5EF4-FFF2-40B4-BE49-F238E27FC236}">
              <a16:creationId xmlns:a16="http://schemas.microsoft.com/office/drawing/2014/main" id="{2BF13BE4-0E56-4EB9-9FF8-A389A10240C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16EB00-53C0-470E-9E1E-DF188DDA2C16}">
  <sheetPr codeName="Sheet1"/>
  <dimension ref="A1:P69"/>
  <sheetViews>
    <sheetView tabSelected="1" zoomScaleNormal="100" workbookViewId="0">
      <selection activeCell="K7" sqref="K7"/>
    </sheetView>
  </sheetViews>
  <sheetFormatPr defaultRowHeight="14.4" x14ac:dyDescent="0.3"/>
  <cols>
    <col min="2" max="2" width="51.88671875" bestFit="1" customWidth="1"/>
    <col min="3" max="3" width="16.6640625" customWidth="1"/>
    <col min="6" max="6" width="52.88671875" bestFit="1" customWidth="1"/>
    <col min="7" max="7" width="16.6640625" customWidth="1"/>
  </cols>
  <sheetData>
    <row r="1" spans="1:16" x14ac:dyDescent="0.3">
      <c r="G1" s="80" t="s">
        <v>424</v>
      </c>
      <c r="H1" s="87" t="str">
        <f>IF(C19="Yes","You have an ON/OFF Time Problem. Decrease your VIN-VOUT difference or decrease your fSW","")</f>
        <v/>
      </c>
      <c r="I1" s="87"/>
      <c r="J1" s="87"/>
      <c r="K1" s="87"/>
      <c r="L1" s="87"/>
      <c r="M1" s="87"/>
      <c r="N1" s="87"/>
      <c r="O1" s="87"/>
      <c r="P1" s="88"/>
    </row>
    <row r="2" spans="1:16" x14ac:dyDescent="0.3">
      <c r="G2" s="81"/>
      <c r="H2" s="85" t="str">
        <f>IF(C20="Yes","You have a Switching Frequency Problem. Acceptable fSW Range is 250kHz to 1.5MHz","")</f>
        <v/>
      </c>
      <c r="I2" s="85"/>
      <c r="J2" s="85"/>
      <c r="K2" s="85"/>
      <c r="L2" s="85"/>
      <c r="M2" s="85"/>
      <c r="N2" s="85"/>
      <c r="O2" s="85"/>
      <c r="P2" s="86"/>
    </row>
    <row r="3" spans="1:16" x14ac:dyDescent="0.3">
      <c r="G3" s="82"/>
      <c r="H3" s="83" t="str">
        <f>IF(C41="Yes","You have an RSLOPE issue. RSLOPE should be 25kohm to 100kohm. Try adjusting LOUT.","")</f>
        <v/>
      </c>
      <c r="I3" s="83"/>
      <c r="J3" s="83"/>
      <c r="K3" s="83"/>
      <c r="L3" s="83"/>
      <c r="M3" s="83"/>
      <c r="N3" s="83"/>
      <c r="O3" s="83"/>
      <c r="P3" s="84"/>
    </row>
    <row r="4" spans="1:16" ht="15.6" x14ac:dyDescent="0.3">
      <c r="A4" s="78" t="s">
        <v>445</v>
      </c>
      <c r="B4" s="78"/>
      <c r="D4" s="77"/>
      <c r="E4" s="77"/>
      <c r="F4" s="77"/>
      <c r="G4" s="77"/>
      <c r="H4" s="77"/>
      <c r="I4" s="77"/>
      <c r="J4" s="77"/>
    </row>
    <row r="5" spans="1:16" ht="15.6" x14ac:dyDescent="0.3">
      <c r="C5" s="65"/>
      <c r="D5" s="65"/>
      <c r="E5" s="65"/>
      <c r="F5" s="65"/>
      <c r="G5" s="65"/>
      <c r="H5" s="65"/>
    </row>
    <row r="6" spans="1:16" x14ac:dyDescent="0.3">
      <c r="A6" s="55"/>
      <c r="B6" s="7" t="s">
        <v>44</v>
      </c>
    </row>
    <row r="7" spans="1:16" x14ac:dyDescent="0.3">
      <c r="A7" s="43"/>
      <c r="B7" s="7" t="s">
        <v>45</v>
      </c>
    </row>
    <row r="9" spans="1:16" ht="18" customHeight="1" x14ac:dyDescent="0.35">
      <c r="B9" s="2" t="s">
        <v>10</v>
      </c>
      <c r="C9" s="55">
        <v>12</v>
      </c>
      <c r="D9" s="3" t="s">
        <v>0</v>
      </c>
      <c r="F9" s="2" t="s">
        <v>309</v>
      </c>
      <c r="G9" s="55" t="s">
        <v>7</v>
      </c>
      <c r="K9" s="7"/>
    </row>
    <row r="10" spans="1:16" ht="15.6" x14ac:dyDescent="0.35">
      <c r="B10" s="2" t="s">
        <v>11</v>
      </c>
      <c r="C10" s="55">
        <v>1</v>
      </c>
      <c r="D10" s="3" t="s">
        <v>0</v>
      </c>
      <c r="F10" s="2" t="s">
        <v>326</v>
      </c>
      <c r="G10" s="55">
        <v>25</v>
      </c>
      <c r="H10" s="3" t="s">
        <v>3</v>
      </c>
      <c r="J10" s="7"/>
      <c r="K10" s="7"/>
    </row>
    <row r="11" spans="1:16" ht="15.6" x14ac:dyDescent="0.35">
      <c r="B11" s="2" t="s">
        <v>320</v>
      </c>
      <c r="C11" s="55">
        <v>50</v>
      </c>
      <c r="D11" s="3" t="s">
        <v>3</v>
      </c>
      <c r="F11" s="2" t="s">
        <v>373</v>
      </c>
      <c r="G11" s="55">
        <v>4</v>
      </c>
      <c r="H11" s="3" t="s">
        <v>6</v>
      </c>
      <c r="J11" s="7"/>
      <c r="K11" s="7"/>
    </row>
    <row r="12" spans="1:16" ht="15.6" x14ac:dyDescent="0.35">
      <c r="B12" s="2" t="s">
        <v>25</v>
      </c>
      <c r="C12" s="56">
        <v>500</v>
      </c>
      <c r="D12" s="3" t="s">
        <v>4</v>
      </c>
      <c r="F12" s="2" t="s">
        <v>377</v>
      </c>
      <c r="G12" s="55">
        <v>2</v>
      </c>
      <c r="H12" s="3" t="s">
        <v>6</v>
      </c>
      <c r="I12" t="s">
        <v>409</v>
      </c>
      <c r="J12" s="7"/>
      <c r="K12" s="7"/>
    </row>
    <row r="13" spans="1:16" ht="15.6" x14ac:dyDescent="0.35">
      <c r="B13" s="2" t="s">
        <v>51</v>
      </c>
      <c r="C13" s="57">
        <f>2*C12</f>
        <v>1000</v>
      </c>
      <c r="D13" s="3" t="s">
        <v>4</v>
      </c>
      <c r="F13" s="2" t="s">
        <v>374</v>
      </c>
      <c r="G13" s="43">
        <f>IF(G9="Yes",IF((G11/2)-G12&lt;0,"Too much DROOP",(G11/2)-G12),(G11/2))</f>
        <v>0</v>
      </c>
      <c r="H13" s="3" t="s">
        <v>6</v>
      </c>
      <c r="J13" s="7"/>
      <c r="K13" s="7"/>
    </row>
    <row r="14" spans="1:16" ht="15.6" x14ac:dyDescent="0.35">
      <c r="B14" s="2" t="s">
        <v>371</v>
      </c>
      <c r="C14" s="55">
        <v>2</v>
      </c>
      <c r="D14" s="3"/>
      <c r="F14" s="2" t="s">
        <v>375</v>
      </c>
      <c r="G14" s="43">
        <f>IF(G9="Yes",IF((G11/2)-G12&lt;0,"Too much DROOP",(G11/2)),(G11/2))</f>
        <v>2</v>
      </c>
      <c r="H14" s="3" t="s">
        <v>6</v>
      </c>
      <c r="J14" s="7"/>
      <c r="K14" s="7"/>
    </row>
    <row r="15" spans="1:16" ht="15.6" x14ac:dyDescent="0.35">
      <c r="B15" s="2" t="s">
        <v>302</v>
      </c>
      <c r="C15" s="57">
        <f>ROUNDUP(C14/2, 0)</f>
        <v>1</v>
      </c>
      <c r="D15" s="3"/>
      <c r="F15" s="2" t="s">
        <v>421</v>
      </c>
      <c r="G15" s="43">
        <f>IF(G9="Yes", IF(G13="Too much DROOP", "Too much DROOP", G14+G13), G11)</f>
        <v>2</v>
      </c>
      <c r="H15" s="3" t="s">
        <v>6</v>
      </c>
      <c r="J15" s="7"/>
      <c r="K15" s="7"/>
    </row>
    <row r="16" spans="1:16" ht="15.6" x14ac:dyDescent="0.35">
      <c r="B16" s="2" t="s">
        <v>372</v>
      </c>
      <c r="C16" s="47">
        <f>(C10/C9)*100</f>
        <v>8.3333333333333321</v>
      </c>
      <c r="D16" s="3" t="s">
        <v>6</v>
      </c>
      <c r="F16" s="2" t="s">
        <v>378</v>
      </c>
      <c r="G16" s="43">
        <f>IF(G9="Yes",(C11/G10)*G12,"No DROOP")</f>
        <v>4</v>
      </c>
      <c r="H16" s="3" t="s">
        <v>6</v>
      </c>
      <c r="J16" s="7"/>
      <c r="K16" s="7"/>
    </row>
    <row r="17" spans="2:16" ht="15.6" x14ac:dyDescent="0.35">
      <c r="B17" s="2" t="s">
        <v>288</v>
      </c>
      <c r="C17" s="47">
        <f>((C16*0.01)/C12)*1000000</f>
        <v>166.66666666666666</v>
      </c>
      <c r="D17" s="3" t="s">
        <v>53</v>
      </c>
      <c r="F17" s="2" t="s">
        <v>414</v>
      </c>
      <c r="G17" s="47">
        <f>C27</f>
        <v>0.99919839679358702</v>
      </c>
      <c r="H17" s="3" t="s">
        <v>0</v>
      </c>
      <c r="J17" s="7"/>
      <c r="K17" s="7"/>
    </row>
    <row r="18" spans="2:16" ht="15.6" x14ac:dyDescent="0.35">
      <c r="B18" s="2" t="s">
        <v>289</v>
      </c>
      <c r="C18" s="47">
        <f>((1-(C16*0.01))/C12)*1000000</f>
        <v>1833.3333333333333</v>
      </c>
      <c r="D18" s="3" t="s">
        <v>53</v>
      </c>
      <c r="F18" s="2" t="s">
        <v>420</v>
      </c>
      <c r="G18" s="47">
        <f>IF(G9="Yes", (1-G12/100)*G17, C27)</f>
        <v>0.97921442885771526</v>
      </c>
      <c r="H18" s="3" t="s">
        <v>0</v>
      </c>
      <c r="J18" s="7"/>
      <c r="K18" s="7"/>
    </row>
    <row r="19" spans="2:16" ht="15.6" x14ac:dyDescent="0.35">
      <c r="B19" s="2" t="s">
        <v>118</v>
      </c>
      <c r="C19" s="43" t="str">
        <f>IF(OR(C17&lt;'DS Parameters'!C10,Main!C18&lt;'DS Parameters'!C11), "Yes", "No")</f>
        <v>No</v>
      </c>
      <c r="D19" s="6"/>
      <c r="F19" s="2" t="s">
        <v>419</v>
      </c>
      <c r="G19" s="47">
        <f>IF(G9="Yes",(1-G16/100)*G17,C27)</f>
        <v>0.9592304609218435</v>
      </c>
      <c r="H19" s="3" t="s">
        <v>0</v>
      </c>
      <c r="J19" s="7"/>
      <c r="K19" s="7"/>
    </row>
    <row r="20" spans="2:16" ht="15.6" x14ac:dyDescent="0.35">
      <c r="B20" s="2" t="s">
        <v>307</v>
      </c>
      <c r="C20" s="43" t="str">
        <f>IF(OR(C12&lt;250, C12&gt;1500), "Yes", "No")</f>
        <v>No</v>
      </c>
      <c r="D20" s="6"/>
      <c r="J20" s="7"/>
      <c r="K20" s="7"/>
    </row>
    <row r="21" spans="2:16" ht="15.6" x14ac:dyDescent="0.35">
      <c r="B21" s="1"/>
      <c r="C21" s="8"/>
      <c r="D21" s="6"/>
      <c r="F21" s="2" t="s">
        <v>308</v>
      </c>
      <c r="G21" s="59">
        <f>IF(G9="Yes",(G16*0.01*'DS Parameters'!C5)/('DS Parameters'!C14*0.000001*C14)*C15, "0")</f>
        <v>603.01507537688451</v>
      </c>
      <c r="H21" s="4" t="s">
        <v>303</v>
      </c>
      <c r="J21" s="7"/>
      <c r="K21" s="7"/>
    </row>
    <row r="22" spans="2:16" ht="15.6" x14ac:dyDescent="0.35">
      <c r="B22" s="2" t="s">
        <v>50</v>
      </c>
      <c r="C22" s="55" t="s">
        <v>47</v>
      </c>
      <c r="D22" s="6"/>
      <c r="F22" s="2" t="s">
        <v>29</v>
      </c>
      <c r="G22" s="48">
        <f>IF(G9="Yes",((G26*1000*G34*0.000000001)/(G21))*1000000000,"Open")</f>
        <v>69.107276163701798</v>
      </c>
      <c r="H22" s="4" t="s">
        <v>2</v>
      </c>
      <c r="J22" s="7"/>
      <c r="K22" s="7"/>
    </row>
    <row r="23" spans="2:16" ht="15.6" x14ac:dyDescent="0.35">
      <c r="B23" s="2" t="s">
        <v>34</v>
      </c>
      <c r="C23" s="52">
        <f>IF(C22="No",IF(C12=250, 'DS Parameters'!C16, IF(C12=500, 'DS Parameters'!C17, IF(C12=1000, 'DS Parameters'!C18, IF(C12=1500, 'DS Parameters'!C19, (56497/C12)-20.96)))), (56497/(C12*85%)-20.96))</f>
        <v>94.2</v>
      </c>
      <c r="D23" s="3" t="s">
        <v>19</v>
      </c>
      <c r="J23" s="7"/>
      <c r="K23" s="7"/>
      <c r="L23" s="7"/>
      <c r="M23" s="7"/>
      <c r="N23" s="7"/>
      <c r="O23" s="7"/>
      <c r="P23" s="7"/>
    </row>
    <row r="24" spans="2:16" ht="15.6" x14ac:dyDescent="0.35">
      <c r="B24" s="2" t="s">
        <v>383</v>
      </c>
      <c r="C24" s="55">
        <v>4.99</v>
      </c>
      <c r="D24" s="3" t="s">
        <v>19</v>
      </c>
      <c r="F24" s="2" t="s">
        <v>381</v>
      </c>
      <c r="G24" s="47">
        <f>((G14*0.01*C27)/G10)*1000</f>
        <v>0.79935871743486953</v>
      </c>
      <c r="H24" s="4" t="s">
        <v>21</v>
      </c>
    </row>
    <row r="25" spans="2:16" ht="15.6" x14ac:dyDescent="0.35">
      <c r="B25" s="2" t="s">
        <v>380</v>
      </c>
      <c r="C25" s="47">
        <f>((C10/'DS Parameters'!C5)-1)*C24</f>
        <v>3.3266666666666671</v>
      </c>
      <c r="D25" s="3" t="s">
        <v>19</v>
      </c>
      <c r="F25" s="2" t="s">
        <v>310</v>
      </c>
      <c r="G25" s="47">
        <f>((C27*C30*0.001*'DS Parameters'!C7)/(C14*G24*0.001*'DS Parameters'!C5*'DS Parameters'!C6*0.001))/1000</f>
        <v>4.1666666666666679</v>
      </c>
      <c r="H25" s="4" t="s">
        <v>1</v>
      </c>
    </row>
    <row r="26" spans="2:16" ht="15.6" x14ac:dyDescent="0.35">
      <c r="B26" s="2" t="s">
        <v>379</v>
      </c>
      <c r="C26" s="55">
        <v>3.32</v>
      </c>
      <c r="D26" s="3" t="s">
        <v>19</v>
      </c>
      <c r="F26" s="2" t="s">
        <v>444</v>
      </c>
      <c r="G26" s="55">
        <v>4.22</v>
      </c>
      <c r="H26" s="4" t="s">
        <v>1</v>
      </c>
      <c r="O26" s="16"/>
    </row>
    <row r="27" spans="2:16" ht="18" customHeight="1" x14ac:dyDescent="0.35">
      <c r="B27" s="2" t="s">
        <v>132</v>
      </c>
      <c r="C27" s="47">
        <f>'DS Parameters'!C5*(1+(C26/C24))</f>
        <v>0.99919839679358702</v>
      </c>
      <c r="D27" s="3" t="s">
        <v>0</v>
      </c>
    </row>
    <row r="28" spans="2:16" ht="18" customHeight="1" x14ac:dyDescent="0.35">
      <c r="B28" s="1"/>
      <c r="C28" s="5"/>
      <c r="D28" s="6"/>
      <c r="F28" s="2" t="s">
        <v>328</v>
      </c>
      <c r="G28" s="53">
        <f>((C14*'DS Parameters'!C5*'DS Parameters'!C6*0.001*G26*1000)/(2*PI()*(C12/10)*1000*C27*C30*0.001*'DS Parameters'!C7))*1000000</f>
        <v>4033.0360537190286</v>
      </c>
      <c r="H28" s="10" t="s">
        <v>8</v>
      </c>
    </row>
    <row r="29" spans="2:16" ht="15.6" x14ac:dyDescent="0.35">
      <c r="B29" s="2" t="s">
        <v>313</v>
      </c>
      <c r="C29" s="43">
        <f>(('DS Parameters'!C12*0.001*C14)/C11)*1000</f>
        <v>2</v>
      </c>
      <c r="D29" s="4" t="s">
        <v>21</v>
      </c>
      <c r="F29" s="2" t="s">
        <v>382</v>
      </c>
      <c r="G29" s="53">
        <f>'COUT Network Design'!C42</f>
        <v>5280</v>
      </c>
      <c r="H29" s="10" t="s">
        <v>8</v>
      </c>
      <c r="I29" t="s">
        <v>46</v>
      </c>
    </row>
    <row r="30" spans="2:16" ht="15.6" x14ac:dyDescent="0.35">
      <c r="B30" s="2" t="s">
        <v>56</v>
      </c>
      <c r="C30" s="55">
        <v>2</v>
      </c>
      <c r="D30" s="4" t="s">
        <v>21</v>
      </c>
      <c r="F30" s="2" t="s">
        <v>27</v>
      </c>
      <c r="G30" s="61">
        <f>((C14*'DS Parameters'!C5*'DS Parameters'!C6*0.001*G26*1000)/(2*PI()*G29*0.000001*C27*C30*0.001*'DS Parameters'!C7))/1000</f>
        <v>38.191629296581723</v>
      </c>
      <c r="H30" s="10" t="s">
        <v>4</v>
      </c>
    </row>
    <row r="31" spans="2:16" ht="15.6" x14ac:dyDescent="0.35">
      <c r="B31" s="2" t="s">
        <v>412</v>
      </c>
      <c r="C31" s="43">
        <f>'DS Parameters'!C13/Main!C30</f>
        <v>37.5</v>
      </c>
      <c r="D31" s="4" t="s">
        <v>3</v>
      </c>
      <c r="F31" s="2" t="s">
        <v>327</v>
      </c>
      <c r="G31" s="47">
        <f>'COUT Network Design'!C43</f>
        <v>0.25</v>
      </c>
      <c r="H31" s="10" t="s">
        <v>26</v>
      </c>
      <c r="I31" t="s">
        <v>46</v>
      </c>
    </row>
    <row r="32" spans="2:16" ht="15.6" x14ac:dyDescent="0.35">
      <c r="B32" s="2" t="s">
        <v>60</v>
      </c>
      <c r="C32" s="43">
        <f>C31^2*C30*0.001</f>
        <v>2.8125</v>
      </c>
      <c r="D32" s="3" t="s">
        <v>58</v>
      </c>
      <c r="F32" s="2" t="s">
        <v>136</v>
      </c>
      <c r="G32" s="48">
        <f>(1/(2*PI()*G29*0.000001*G31*0.001))/1000</f>
        <v>120.57192658476922</v>
      </c>
      <c r="H32" s="4" t="s">
        <v>4</v>
      </c>
    </row>
    <row r="33" spans="2:8" ht="15.6" x14ac:dyDescent="0.35">
      <c r="F33" s="2" t="s">
        <v>314</v>
      </c>
      <c r="G33" s="48">
        <f>((G29*0.000001*G31*0.001)/(G26*1000))*1000000000000</f>
        <v>312.7962085308057</v>
      </c>
      <c r="H33" s="4" t="s">
        <v>9</v>
      </c>
    </row>
    <row r="34" spans="2:8" ht="15.6" x14ac:dyDescent="0.35">
      <c r="B34" s="2" t="s">
        <v>52</v>
      </c>
      <c r="C34" s="55">
        <v>33</v>
      </c>
      <c r="D34" s="3" t="s">
        <v>6</v>
      </c>
      <c r="F34" s="2" t="s">
        <v>304</v>
      </c>
      <c r="G34" s="48">
        <f>(1/(2*PI()*G26*1000*(G30/10)*1000))*1000000000</f>
        <v>9.8750543471435588</v>
      </c>
      <c r="H34" s="4" t="s">
        <v>2</v>
      </c>
    </row>
    <row r="35" spans="2:8" ht="15.6" x14ac:dyDescent="0.35">
      <c r="B35" s="2" t="s">
        <v>305</v>
      </c>
      <c r="C35" s="48">
        <f>(((C9-C27)*C16*0.01*C14)/(C12*1000*C11*C34*0.01))*1000000000</f>
        <v>222.23841622639213</v>
      </c>
      <c r="D35" s="3" t="s">
        <v>5</v>
      </c>
    </row>
    <row r="36" spans="2:8" ht="15.6" x14ac:dyDescent="0.35">
      <c r="B36" s="1"/>
      <c r="C36" s="12"/>
      <c r="D36" s="6"/>
      <c r="F36" s="2" t="s">
        <v>401</v>
      </c>
      <c r="G36" s="55">
        <v>0.5</v>
      </c>
      <c r="H36" s="4" t="s">
        <v>3</v>
      </c>
    </row>
    <row r="37" spans="2:8" ht="15.6" x14ac:dyDescent="0.35">
      <c r="B37" s="2" t="s">
        <v>40</v>
      </c>
      <c r="C37" s="55">
        <v>220</v>
      </c>
      <c r="D37" s="3" t="s">
        <v>5</v>
      </c>
      <c r="F37" s="2" t="s">
        <v>311</v>
      </c>
      <c r="G37" s="48">
        <f>((G29*0.000001*C27*'DS Parameters'!C15*0.000001*C16*0.01)/(G36*'DS Parameters'!C5))*1000000000</f>
        <v>14.654909819639272</v>
      </c>
      <c r="H37" s="10" t="s">
        <v>2</v>
      </c>
    </row>
    <row r="38" spans="2:8" ht="15.6" x14ac:dyDescent="0.35">
      <c r="B38" s="2" t="s">
        <v>120</v>
      </c>
      <c r="C38" s="48">
        <f>(((C9-C10)*C16*0.01*C14)/(C37*0.000000001*C12*1000*C11))*100</f>
        <v>33.333333333333329</v>
      </c>
      <c r="D38" s="3" t="s">
        <v>6</v>
      </c>
      <c r="F38" s="2" t="s">
        <v>31</v>
      </c>
      <c r="G38" s="48">
        <f>(G37*0.000000001*'DS Parameters'!C5/('DS Parameters'!C15*0.000001))*1000</f>
        <v>0.87929458917835646</v>
      </c>
      <c r="H38" s="4" t="s">
        <v>312</v>
      </c>
    </row>
    <row r="39" spans="2:8" ht="15.6" x14ac:dyDescent="0.35">
      <c r="B39" s="2" t="s">
        <v>119</v>
      </c>
      <c r="C39" s="47">
        <f>(C11*C38*0.01)/C14</f>
        <v>8.3333333333333321</v>
      </c>
      <c r="D39" s="3" t="s">
        <v>3</v>
      </c>
    </row>
    <row r="40" spans="2:8" ht="15.6" x14ac:dyDescent="0.35">
      <c r="B40" s="2" t="s">
        <v>30</v>
      </c>
      <c r="C40" s="48">
        <f>((C30*0.001*C23*1000*C27)/(25000*C37*0.000000001))/1000</f>
        <v>34.22708690107487</v>
      </c>
      <c r="D40" s="4" t="s">
        <v>1</v>
      </c>
      <c r="F40" s="2" t="s">
        <v>415</v>
      </c>
      <c r="G40" s="55">
        <v>0.6</v>
      </c>
      <c r="H40" s="3" t="s">
        <v>0</v>
      </c>
    </row>
    <row r="41" spans="2:8" ht="15.6" x14ac:dyDescent="0.35">
      <c r="B41" s="2" t="s">
        <v>306</v>
      </c>
      <c r="C41" s="43" t="str">
        <f>IF(OR(C40&lt;25, C40&gt;100), "Yes", "No")</f>
        <v>No</v>
      </c>
      <c r="F41" s="2" t="s">
        <v>416</v>
      </c>
      <c r="G41" s="48">
        <f>C14*C31*C30*0.001*'DS Parameters'!C8*0.001*1000000</f>
        <v>58.5</v>
      </c>
      <c r="H41" s="10" t="s">
        <v>413</v>
      </c>
    </row>
    <row r="42" spans="2:8" ht="15.6" x14ac:dyDescent="0.35">
      <c r="F42" s="2" t="s">
        <v>417</v>
      </c>
      <c r="G42" s="48">
        <f>G40/(G41*0.000001)*0.001</f>
        <v>10.256410256410255</v>
      </c>
      <c r="H42" s="4" t="s">
        <v>322</v>
      </c>
    </row>
    <row r="44" spans="2:8" ht="15" customHeight="1" x14ac:dyDescent="0.3">
      <c r="B44" s="79" t="s">
        <v>319</v>
      </c>
      <c r="C44" s="79"/>
      <c r="D44" s="79"/>
      <c r="E44" s="79"/>
      <c r="F44" s="79"/>
      <c r="G44" s="79"/>
      <c r="H44" s="79"/>
    </row>
    <row r="45" spans="2:8" x14ac:dyDescent="0.3">
      <c r="B45" s="79"/>
      <c r="C45" s="79"/>
      <c r="D45" s="79"/>
      <c r="E45" s="79"/>
      <c r="F45" s="79"/>
      <c r="G45" s="79"/>
      <c r="H45" s="79"/>
    </row>
    <row r="46" spans="2:8" x14ac:dyDescent="0.3">
      <c r="B46" s="79"/>
      <c r="C46" s="79"/>
      <c r="D46" s="79"/>
      <c r="E46" s="79"/>
      <c r="F46" s="79"/>
      <c r="G46" s="79"/>
      <c r="H46" s="79"/>
    </row>
    <row r="47" spans="2:8" ht="15" customHeight="1" x14ac:dyDescent="0.3">
      <c r="B47" s="79"/>
      <c r="C47" s="79"/>
      <c r="D47" s="79"/>
      <c r="E47" s="79"/>
      <c r="F47" s="79"/>
      <c r="G47" s="79"/>
      <c r="H47" s="79"/>
    </row>
    <row r="48" spans="2:8" x14ac:dyDescent="0.3">
      <c r="B48" s="79"/>
      <c r="C48" s="79"/>
      <c r="D48" s="79"/>
      <c r="E48" s="79"/>
      <c r="F48" s="79"/>
      <c r="G48" s="79"/>
      <c r="H48" s="79"/>
    </row>
    <row r="49" spans="2:8" x14ac:dyDescent="0.3">
      <c r="B49" s="79"/>
      <c r="C49" s="79"/>
      <c r="D49" s="79"/>
      <c r="E49" s="79"/>
      <c r="F49" s="79"/>
      <c r="G49" s="79"/>
      <c r="H49" s="79"/>
    </row>
    <row r="50" spans="2:8" ht="15" customHeight="1" x14ac:dyDescent="0.3">
      <c r="B50" s="79"/>
      <c r="C50" s="79"/>
      <c r="D50" s="79"/>
      <c r="E50" s="79"/>
      <c r="F50" s="79"/>
      <c r="G50" s="79"/>
      <c r="H50" s="79"/>
    </row>
    <row r="51" spans="2:8" x14ac:dyDescent="0.3">
      <c r="B51" s="79"/>
      <c r="C51" s="79"/>
      <c r="D51" s="79"/>
      <c r="E51" s="79"/>
      <c r="F51" s="79"/>
      <c r="G51" s="79"/>
      <c r="H51" s="79"/>
    </row>
    <row r="52" spans="2:8" x14ac:dyDescent="0.3">
      <c r="B52" s="79"/>
      <c r="C52" s="79"/>
      <c r="D52" s="79"/>
      <c r="E52" s="79"/>
      <c r="F52" s="79"/>
      <c r="G52" s="79"/>
      <c r="H52" s="79"/>
    </row>
    <row r="53" spans="2:8" x14ac:dyDescent="0.3">
      <c r="B53" s="64"/>
      <c r="C53" s="64"/>
      <c r="D53" s="64"/>
      <c r="E53" s="68"/>
      <c r="F53" s="64"/>
      <c r="G53" s="64"/>
      <c r="H53" s="64"/>
    </row>
    <row r="54" spans="2:8" x14ac:dyDescent="0.3">
      <c r="B54" s="64"/>
      <c r="C54" s="64"/>
      <c r="D54" s="64"/>
      <c r="E54" s="68"/>
      <c r="F54" s="68"/>
      <c r="G54" s="68"/>
      <c r="H54" s="68"/>
    </row>
    <row r="55" spans="2:8" x14ac:dyDescent="0.3">
      <c r="B55" s="64"/>
      <c r="C55" s="64"/>
      <c r="D55" s="64"/>
      <c r="E55" s="64"/>
      <c r="F55" s="68"/>
      <c r="G55" s="68"/>
      <c r="H55" s="68"/>
    </row>
    <row r="56" spans="2:8" ht="15" customHeight="1" x14ac:dyDescent="0.3">
      <c r="B56" s="64"/>
      <c r="C56" s="64"/>
      <c r="D56" s="64"/>
      <c r="E56" s="64"/>
      <c r="F56" s="64"/>
      <c r="G56" s="64"/>
      <c r="H56" s="64"/>
    </row>
    <row r="57" spans="2:8" x14ac:dyDescent="0.3">
      <c r="B57" s="64"/>
      <c r="C57" s="64"/>
      <c r="D57" s="64"/>
      <c r="E57" s="64"/>
      <c r="F57" s="64"/>
      <c r="G57" s="64"/>
      <c r="H57" s="64"/>
    </row>
    <row r="58" spans="2:8" x14ac:dyDescent="0.3">
      <c r="B58" s="64"/>
      <c r="C58" s="64"/>
      <c r="D58" s="64"/>
      <c r="E58" s="64"/>
      <c r="F58" s="64"/>
      <c r="G58" s="64"/>
      <c r="H58" s="64"/>
    </row>
    <row r="59" spans="2:8" x14ac:dyDescent="0.3">
      <c r="B59" s="64"/>
      <c r="C59" s="64"/>
      <c r="D59" s="64"/>
      <c r="E59" s="64"/>
      <c r="F59" s="64"/>
      <c r="G59" s="64"/>
      <c r="H59" s="64"/>
    </row>
    <row r="60" spans="2:8" x14ac:dyDescent="0.3">
      <c r="B60" s="64"/>
      <c r="C60" s="64"/>
      <c r="D60" s="64"/>
      <c r="E60" s="64"/>
      <c r="F60" s="64"/>
      <c r="G60" s="64"/>
      <c r="H60" s="64"/>
    </row>
    <row r="61" spans="2:8" x14ac:dyDescent="0.3">
      <c r="B61" s="64"/>
      <c r="C61" s="64"/>
      <c r="D61" s="64"/>
      <c r="E61" s="64"/>
      <c r="F61" s="64"/>
      <c r="G61" s="64"/>
      <c r="H61" s="64"/>
    </row>
    <row r="62" spans="2:8" x14ac:dyDescent="0.3">
      <c r="B62" s="64"/>
      <c r="C62" s="64"/>
      <c r="D62" s="64"/>
      <c r="E62" s="64"/>
      <c r="F62" s="64"/>
      <c r="G62" s="64"/>
      <c r="H62" s="64"/>
    </row>
    <row r="63" spans="2:8" x14ac:dyDescent="0.3">
      <c r="B63" s="64"/>
      <c r="C63" s="64"/>
      <c r="D63" s="64"/>
      <c r="E63" s="64"/>
    </row>
    <row r="64" spans="2:8" x14ac:dyDescent="0.3">
      <c r="B64" s="64"/>
      <c r="C64" s="64"/>
      <c r="D64" s="64"/>
      <c r="E64" s="64"/>
    </row>
    <row r="65" spans="2:5" x14ac:dyDescent="0.3">
      <c r="B65" s="64"/>
      <c r="C65" s="64"/>
      <c r="D65" s="64"/>
      <c r="E65" s="64"/>
    </row>
    <row r="66" spans="2:5" x14ac:dyDescent="0.3">
      <c r="B66" s="64"/>
      <c r="C66" s="64"/>
      <c r="D66" s="64"/>
      <c r="E66" s="64"/>
    </row>
    <row r="67" spans="2:5" x14ac:dyDescent="0.3">
      <c r="E67" s="64"/>
    </row>
    <row r="68" spans="2:5" x14ac:dyDescent="0.3">
      <c r="E68" s="64"/>
    </row>
    <row r="69" spans="2:5" x14ac:dyDescent="0.3">
      <c r="E69" s="64"/>
    </row>
  </sheetData>
  <mergeCells count="7">
    <mergeCell ref="D4:J4"/>
    <mergeCell ref="A4:B4"/>
    <mergeCell ref="B44:H52"/>
    <mergeCell ref="G1:G3"/>
    <mergeCell ref="H3:P3"/>
    <mergeCell ref="H2:P2"/>
    <mergeCell ref="H1:P1"/>
  </mergeCells>
  <conditionalFormatting sqref="C19:C20 C41">
    <cfRule type="cellIs" dxfId="4" priority="1" operator="equal">
      <formula>"Yes"</formula>
    </cfRule>
  </conditionalFormatting>
  <conditionalFormatting sqref="C19:C20">
    <cfRule type="containsText" dxfId="3" priority="3" operator="containsText" text="Yes">
      <formula>NOT(ISERROR(SEARCH("Yes",C19)))</formula>
    </cfRule>
  </conditionalFormatting>
  <conditionalFormatting sqref="C41">
    <cfRule type="containsText" dxfId="2" priority="2" operator="containsText" text="Yes">
      <formula>NOT(ISERROR(SEARCH("Yes",C41)))</formula>
    </cfRule>
  </conditionalFormatting>
  <dataValidations count="2">
    <dataValidation type="list" allowBlank="1" showInputMessage="1" showErrorMessage="1" sqref="C22 G9" xr:uid="{4DCB7795-656E-4474-9252-3D77F237F4B6}">
      <formula1>"Yes,No"</formula1>
    </dataValidation>
    <dataValidation type="list" allowBlank="1" showInputMessage="1" showErrorMessage="1" errorTitle="Invalid Input" error="Please enter either 1 or 2." sqref="C14" xr:uid="{11290131-FBB9-4811-B92C-E3121CA2CEC7}">
      <formula1>"1,2,3,4,5,6,7,8,9,10"</formula1>
    </dataValidation>
  </dataValidations>
  <pageMargins left="0.7" right="0.7" top="0.75" bottom="0.75" header="0.3" footer="0.3"/>
  <pageSetup orientation="portrait" horizontalDpi="1200" verticalDpi="1200" r:id="rId1"/>
  <ignoredErrors>
    <ignoredError sqref="H2" formula="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80DA97-31E3-4FAD-9E07-1B6F8E33D563}">
  <dimension ref="A1:BI182"/>
  <sheetViews>
    <sheetView zoomScaleNormal="100" workbookViewId="0">
      <pane ySplit="21" topLeftCell="A22" activePane="bottomLeft" state="frozen"/>
      <selection pane="bottomLeft" activeCell="B96" sqref="B96"/>
    </sheetView>
  </sheetViews>
  <sheetFormatPr defaultRowHeight="14.4" x14ac:dyDescent="0.3"/>
  <cols>
    <col min="2" max="2" width="69.5546875" bestFit="1" customWidth="1"/>
    <col min="3" max="3" width="14.88671875" bestFit="1" customWidth="1"/>
    <col min="5" max="5" width="17.5546875" customWidth="1"/>
    <col min="6" max="6" width="19.6640625" customWidth="1"/>
    <col min="7" max="7" width="17.88671875" customWidth="1"/>
    <col min="8" max="8" width="21.88671875" bestFit="1" customWidth="1"/>
    <col min="9" max="9" width="22.109375" bestFit="1" customWidth="1"/>
    <col min="10" max="25" width="19.6640625" customWidth="1"/>
    <col min="26" max="26" width="14.33203125" bestFit="1" customWidth="1"/>
    <col min="27" max="27" width="12.44140625" bestFit="1" customWidth="1"/>
    <col min="28" max="28" width="10.33203125" bestFit="1" customWidth="1"/>
    <col min="29" max="29" width="11.33203125" customWidth="1"/>
    <col min="30" max="30" width="19.44140625" bestFit="1" customWidth="1"/>
    <col min="31" max="31" width="14.109375" bestFit="1" customWidth="1"/>
    <col min="32" max="33" width="12.88671875" bestFit="1" customWidth="1"/>
    <col min="35" max="35" width="22.6640625" bestFit="1" customWidth="1"/>
    <col min="36" max="36" width="12.88671875" bestFit="1" customWidth="1"/>
    <col min="37" max="37" width="12.109375" bestFit="1" customWidth="1"/>
    <col min="38" max="38" width="16.33203125" bestFit="1" customWidth="1"/>
    <col min="40" max="40" width="21.5546875" bestFit="1" customWidth="1"/>
    <col min="41" max="41" width="15.109375" bestFit="1" customWidth="1"/>
    <col min="42" max="42" width="12.109375" bestFit="1" customWidth="1"/>
    <col min="43" max="43" width="15.109375" bestFit="1" customWidth="1"/>
    <col min="45" max="45" width="22.6640625" bestFit="1" customWidth="1"/>
    <col min="46" max="46" width="12.88671875" bestFit="1" customWidth="1"/>
    <col min="47" max="47" width="12.109375" bestFit="1" customWidth="1"/>
    <col min="48" max="48" width="16.33203125" bestFit="1" customWidth="1"/>
    <col min="50" max="50" width="22.6640625" bestFit="1" customWidth="1"/>
    <col min="51" max="51" width="14.109375" bestFit="1" customWidth="1"/>
    <col min="52" max="52" width="10.5546875" bestFit="1" customWidth="1"/>
    <col min="53" max="53" width="16.33203125" bestFit="1" customWidth="1"/>
    <col min="55" max="55" width="11.6640625" bestFit="1" customWidth="1"/>
    <col min="56" max="56" width="19.44140625" bestFit="1" customWidth="1"/>
    <col min="59" max="59" width="18.88671875" bestFit="1" customWidth="1"/>
  </cols>
  <sheetData>
    <row r="1" spans="3:25" x14ac:dyDescent="0.3">
      <c r="C1" s="7"/>
      <c r="D1" s="7"/>
    </row>
    <row r="2" spans="3:25" x14ac:dyDescent="0.3">
      <c r="C2" s="7"/>
      <c r="D2" s="7"/>
    </row>
    <row r="3" spans="3:25" x14ac:dyDescent="0.3">
      <c r="C3" s="7"/>
      <c r="D3" s="7"/>
    </row>
    <row r="4" spans="3:25" ht="15.6" x14ac:dyDescent="0.35">
      <c r="F4" s="2" t="s">
        <v>441</v>
      </c>
      <c r="G4" s="48" cm="1">
        <f t="array" ref="G4">_xlfn.IFS(AND($C$64="Yes",$C$78="Yes",$C$92="Yes",$C$50="Yes"),1/((1/C48)+(1/C76)+(1/C90)+(1/C104)+(1/C62)),AND($C$64="Yes",$C$78="Yes",$C$92="Yes",$C$50="No"),1/((1/C48)+(1/C76)+(1/C90)+(1/C104)),AND($C$64="Yes",$C$78="Yes",$C$92="No",$C$50="No"),1/((1/C48)+(1/C76)+(1/C90)),AND($C$64="Yes",$C$78="No",$C$92="No",$C$50="No"),1/((1/C48)+(1/C76)),AND($C$64="No",$C$78="No",$C$92="No",$C$50="No"),1/((1/C48)),AND($C$64="Yes",$C$78="No",$C$92="No",$C$50="Yes"),1/((1/C48)+(1/C76)+(1/C62)), AND($C$64="No",$C$78="No",$C$92="No",$C$50="Yes"),1/((1/C48)+(1/C62)), AND($C$64="No",$C$78="Yes",$C$92="No",$C$50="Yes"),1/((1/C48)+(1/C90)+(1/C62)))</f>
        <v>0.55074702564162703</v>
      </c>
      <c r="H4" s="10" t="s">
        <v>442</v>
      </c>
    </row>
    <row r="5" spans="3:25" ht="15.6" x14ac:dyDescent="0.35">
      <c r="F5" s="73" t="s">
        <v>443</v>
      </c>
      <c r="G5" s="48">
        <f>G4*C35</f>
        <v>4.5895585470135583</v>
      </c>
      <c r="H5" s="72" t="s">
        <v>20</v>
      </c>
    </row>
    <row r="6" spans="3:25" ht="15.6" x14ac:dyDescent="0.35">
      <c r="F6" s="73" t="s">
        <v>443</v>
      </c>
      <c r="G6" s="48">
        <f>G5/1000/C31*100</f>
        <v>0.45932405033288526</v>
      </c>
      <c r="H6" s="4" t="s">
        <v>6</v>
      </c>
    </row>
    <row r="7" spans="3:25" x14ac:dyDescent="0.3">
      <c r="G7" s="1"/>
    </row>
    <row r="8" spans="3:25" x14ac:dyDescent="0.3">
      <c r="H8" s="7"/>
      <c r="I8" s="7"/>
      <c r="J8" s="7"/>
      <c r="K8" s="7"/>
      <c r="L8" s="7"/>
      <c r="M8" s="7"/>
      <c r="N8" s="7"/>
      <c r="O8" s="7"/>
      <c r="P8" s="7"/>
      <c r="Q8" s="7"/>
      <c r="R8" s="7"/>
      <c r="S8" s="7"/>
      <c r="T8" s="7"/>
      <c r="U8" s="7"/>
      <c r="V8" s="7"/>
      <c r="W8" s="7"/>
      <c r="X8" s="7"/>
      <c r="Y8" s="7"/>
    </row>
    <row r="9" spans="3:25" x14ac:dyDescent="0.3">
      <c r="G9" s="7"/>
      <c r="H9" s="7"/>
      <c r="I9" s="7"/>
      <c r="J9" s="7"/>
      <c r="K9" s="7"/>
      <c r="L9" s="7"/>
      <c r="M9" s="7"/>
      <c r="N9" s="7"/>
      <c r="O9" s="7"/>
      <c r="P9" s="7"/>
      <c r="Q9" s="7"/>
      <c r="R9" s="7"/>
      <c r="S9" s="7"/>
      <c r="T9" s="7"/>
      <c r="U9" s="7"/>
      <c r="V9" s="7"/>
      <c r="W9" s="7"/>
      <c r="X9" s="7"/>
      <c r="Y9" s="7"/>
    </row>
    <row r="10" spans="3:25" x14ac:dyDescent="0.3">
      <c r="G10" s="7"/>
      <c r="H10" s="7"/>
      <c r="I10" s="7"/>
      <c r="J10" s="7"/>
      <c r="K10" s="7"/>
      <c r="L10" s="7"/>
      <c r="M10" s="7"/>
      <c r="N10" s="7"/>
      <c r="O10" s="7"/>
      <c r="P10" s="7"/>
      <c r="Q10" s="7"/>
      <c r="R10" s="7"/>
      <c r="S10" s="7"/>
      <c r="T10" s="7"/>
      <c r="U10" s="7"/>
      <c r="V10" s="7"/>
      <c r="W10" s="7"/>
      <c r="X10" s="7"/>
      <c r="Y10" s="7"/>
    </row>
    <row r="11" spans="3:25" x14ac:dyDescent="0.3">
      <c r="G11" s="7"/>
      <c r="H11" s="7"/>
      <c r="I11" s="7"/>
      <c r="J11" s="7"/>
      <c r="K11" s="7"/>
      <c r="L11" s="7"/>
      <c r="M11" s="7"/>
      <c r="N11" s="7"/>
      <c r="O11" s="7"/>
      <c r="P11" s="7"/>
      <c r="Q11" s="7"/>
      <c r="R11" s="7"/>
      <c r="S11" s="7"/>
      <c r="T11" s="7"/>
      <c r="U11" s="7"/>
      <c r="V11" s="7"/>
      <c r="W11" s="7"/>
      <c r="X11" s="7"/>
      <c r="Y11" s="7"/>
    </row>
    <row r="12" spans="3:25" x14ac:dyDescent="0.3">
      <c r="G12" s="7"/>
      <c r="H12" s="7"/>
      <c r="I12" s="7"/>
      <c r="J12" s="7"/>
      <c r="K12" s="7"/>
      <c r="L12" s="7"/>
      <c r="M12" s="7"/>
      <c r="N12" s="7"/>
      <c r="O12" s="7"/>
      <c r="P12" s="7"/>
      <c r="Q12" s="7"/>
      <c r="R12" s="7"/>
      <c r="S12" s="7"/>
      <c r="T12" s="7"/>
      <c r="U12" s="7"/>
      <c r="V12" s="7"/>
      <c r="W12" s="7"/>
      <c r="X12" s="7"/>
      <c r="Y12" s="7"/>
    </row>
    <row r="13" spans="3:25" x14ac:dyDescent="0.3">
      <c r="G13" s="7"/>
      <c r="H13" s="7"/>
      <c r="I13" s="7"/>
      <c r="J13" s="7"/>
      <c r="K13" s="7"/>
      <c r="L13" s="7"/>
      <c r="M13" s="7"/>
      <c r="N13" s="7"/>
      <c r="O13" s="7"/>
      <c r="P13" s="7"/>
      <c r="Q13" s="7"/>
      <c r="R13" s="7"/>
      <c r="S13" s="7"/>
      <c r="T13" s="7"/>
      <c r="U13" s="7"/>
      <c r="V13" s="7"/>
      <c r="W13" s="7"/>
      <c r="X13" s="7"/>
      <c r="Y13" s="7"/>
    </row>
    <row r="14" spans="3:25" x14ac:dyDescent="0.3">
      <c r="G14" s="7"/>
      <c r="H14" s="7"/>
      <c r="I14" s="7"/>
      <c r="J14" s="7"/>
      <c r="K14" s="7"/>
      <c r="L14" s="7"/>
      <c r="M14" s="7"/>
      <c r="N14" s="7"/>
      <c r="O14" s="7"/>
      <c r="P14" s="7"/>
      <c r="Q14" s="7"/>
      <c r="R14" s="7"/>
      <c r="S14" s="7"/>
      <c r="T14" s="7"/>
      <c r="U14" s="7"/>
      <c r="V14" s="7"/>
      <c r="W14" s="7"/>
      <c r="X14" s="7"/>
      <c r="Y14" s="7"/>
    </row>
    <row r="15" spans="3:25" x14ac:dyDescent="0.3">
      <c r="G15" s="7"/>
      <c r="H15" s="7"/>
      <c r="I15" s="7"/>
      <c r="J15" s="7"/>
      <c r="K15" s="7"/>
      <c r="L15" s="7"/>
      <c r="M15" s="7"/>
      <c r="N15" s="7"/>
      <c r="O15" s="7"/>
      <c r="P15" s="7"/>
      <c r="Q15" s="7"/>
      <c r="R15" s="7"/>
      <c r="S15" s="7"/>
      <c r="T15" s="7"/>
      <c r="U15" s="7"/>
      <c r="V15" s="7"/>
      <c r="W15" s="7"/>
      <c r="X15" s="7"/>
      <c r="Y15" s="7"/>
    </row>
    <row r="16" spans="3:25" x14ac:dyDescent="0.3">
      <c r="G16" s="7"/>
      <c r="H16" s="7"/>
      <c r="I16" s="7"/>
      <c r="J16" s="7"/>
      <c r="K16" s="7"/>
      <c r="L16" s="7"/>
      <c r="M16" s="7"/>
      <c r="N16" s="7"/>
      <c r="O16" s="7"/>
      <c r="P16" s="7"/>
      <c r="Q16" s="7"/>
      <c r="R16" s="7"/>
      <c r="S16" s="7"/>
      <c r="T16" s="7"/>
      <c r="U16" s="7"/>
      <c r="V16" s="7"/>
      <c r="W16" s="7"/>
      <c r="X16" s="7"/>
      <c r="Y16" s="7"/>
    </row>
    <row r="17" spans="1:61" x14ac:dyDescent="0.3">
      <c r="G17" s="7"/>
      <c r="H17" s="7"/>
      <c r="I17" s="7"/>
      <c r="J17" s="7"/>
      <c r="K17" s="7"/>
      <c r="L17" s="7"/>
      <c r="M17" s="7"/>
      <c r="N17" s="7"/>
      <c r="O17" s="7"/>
      <c r="P17" s="7"/>
      <c r="Q17" s="7"/>
      <c r="R17" s="7"/>
      <c r="S17" s="7"/>
      <c r="T17" s="7"/>
      <c r="U17" s="7"/>
      <c r="V17" s="7"/>
      <c r="W17" s="7"/>
      <c r="X17" s="7"/>
      <c r="Y17" s="7"/>
    </row>
    <row r="18" spans="1:61" x14ac:dyDescent="0.3">
      <c r="G18" s="7"/>
      <c r="H18" s="7"/>
      <c r="I18" s="7"/>
      <c r="J18" s="7"/>
      <c r="K18" s="7"/>
      <c r="L18" s="7"/>
      <c r="M18" s="7"/>
      <c r="N18" s="7"/>
      <c r="O18" s="7"/>
      <c r="P18" s="7"/>
      <c r="Q18" s="7"/>
      <c r="R18" s="7"/>
      <c r="S18" s="7"/>
      <c r="T18" s="7"/>
      <c r="U18" s="7"/>
      <c r="V18" s="7"/>
      <c r="W18" s="7"/>
      <c r="X18" s="7"/>
      <c r="Y18" s="7"/>
    </row>
    <row r="19" spans="1:61" x14ac:dyDescent="0.3">
      <c r="G19" s="7"/>
      <c r="H19" s="7"/>
      <c r="I19" s="7"/>
      <c r="J19" s="7"/>
      <c r="K19" s="7"/>
      <c r="L19" s="7"/>
      <c r="M19" s="7"/>
      <c r="N19" s="7"/>
      <c r="O19" s="7"/>
      <c r="P19" s="7"/>
      <c r="Q19" s="7"/>
      <c r="R19" s="7"/>
      <c r="S19" s="7"/>
      <c r="T19" s="7"/>
      <c r="U19" s="7"/>
      <c r="V19" s="7"/>
      <c r="W19" s="7"/>
      <c r="X19" s="7"/>
      <c r="Y19" s="7"/>
    </row>
    <row r="20" spans="1:61" x14ac:dyDescent="0.3">
      <c r="G20" s="7"/>
      <c r="H20" s="7"/>
      <c r="I20" s="7"/>
      <c r="J20" s="7"/>
      <c r="K20" s="7"/>
      <c r="L20" s="7"/>
      <c r="M20" s="7"/>
      <c r="N20" s="7"/>
      <c r="O20" s="7"/>
      <c r="P20" s="7"/>
      <c r="Q20" s="7"/>
      <c r="R20" s="7"/>
      <c r="S20" s="7"/>
      <c r="T20" s="7"/>
      <c r="U20" s="7"/>
      <c r="V20" s="7"/>
      <c r="W20" s="7"/>
      <c r="X20" s="7"/>
      <c r="Y20" s="7"/>
    </row>
    <row r="21" spans="1:61" x14ac:dyDescent="0.3">
      <c r="G21" s="7"/>
      <c r="H21" s="7"/>
      <c r="I21" s="7"/>
      <c r="J21" s="7"/>
      <c r="K21" s="7"/>
      <c r="L21" s="7"/>
      <c r="M21" s="7"/>
      <c r="N21" s="7"/>
      <c r="O21" s="7"/>
      <c r="P21" s="7"/>
      <c r="Q21" s="7"/>
      <c r="R21" s="7"/>
      <c r="S21" s="7"/>
      <c r="T21" s="7"/>
      <c r="U21" s="7"/>
      <c r="V21" s="7"/>
      <c r="W21" s="7"/>
      <c r="X21" s="7"/>
      <c r="Y21" s="7"/>
    </row>
    <row r="22" spans="1:61" x14ac:dyDescent="0.3">
      <c r="G22" s="7"/>
      <c r="H22" s="7"/>
      <c r="I22" s="7"/>
      <c r="J22" s="7"/>
      <c r="K22" s="7"/>
      <c r="L22" s="7"/>
      <c r="M22" s="7"/>
      <c r="N22" s="7"/>
      <c r="O22" s="7"/>
      <c r="P22" s="7"/>
      <c r="Q22" s="7"/>
      <c r="R22" s="7"/>
      <c r="S22" s="7"/>
      <c r="T22" s="7"/>
      <c r="U22" s="7"/>
      <c r="V22" s="7"/>
      <c r="W22" s="7"/>
      <c r="X22" s="7"/>
      <c r="Y22" s="7"/>
    </row>
    <row r="23" spans="1:61" x14ac:dyDescent="0.3">
      <c r="A23" s="55"/>
      <c r="B23" s="7" t="s">
        <v>44</v>
      </c>
      <c r="G23" s="7"/>
      <c r="H23" s="7"/>
      <c r="I23" s="7"/>
      <c r="J23" s="7"/>
      <c r="K23" s="7"/>
      <c r="L23" s="7"/>
      <c r="M23" s="7"/>
      <c r="N23" s="7"/>
      <c r="O23" s="7"/>
      <c r="P23" s="7"/>
      <c r="Q23" s="7"/>
      <c r="R23" s="7"/>
      <c r="S23" s="7"/>
      <c r="T23" s="7"/>
      <c r="U23" s="7"/>
      <c r="V23" s="7"/>
      <c r="W23" s="7"/>
      <c r="X23" s="7"/>
      <c r="Y23" s="7"/>
    </row>
    <row r="24" spans="1:61" x14ac:dyDescent="0.3">
      <c r="A24" s="43"/>
      <c r="B24" s="7" t="s">
        <v>45</v>
      </c>
      <c r="G24" s="7"/>
      <c r="H24" s="7"/>
      <c r="I24" s="7"/>
      <c r="J24" s="7"/>
      <c r="K24" s="7"/>
      <c r="L24" s="7"/>
      <c r="M24" s="7"/>
      <c r="N24" s="7"/>
      <c r="O24" s="7"/>
      <c r="P24" s="7"/>
      <c r="Q24" s="7"/>
      <c r="R24" s="7"/>
      <c r="S24" s="7"/>
      <c r="T24" s="7"/>
      <c r="U24" s="7"/>
      <c r="V24" s="7"/>
      <c r="W24" s="7"/>
      <c r="X24" s="7"/>
      <c r="Y24" s="7"/>
    </row>
    <row r="25" spans="1:61" x14ac:dyDescent="0.3">
      <c r="A25" s="45"/>
      <c r="B25" s="7" t="s">
        <v>290</v>
      </c>
      <c r="G25" s="7"/>
      <c r="H25" s="7"/>
      <c r="I25" s="7"/>
      <c r="J25" s="7"/>
      <c r="K25" s="7"/>
      <c r="L25" s="7"/>
      <c r="M25" s="7"/>
      <c r="N25" s="7"/>
      <c r="O25" s="7"/>
      <c r="P25" s="7"/>
      <c r="Q25" s="7"/>
      <c r="R25" s="7"/>
      <c r="S25" s="7"/>
      <c r="T25" s="7"/>
      <c r="U25" s="7"/>
      <c r="V25" s="7"/>
      <c r="W25" s="7"/>
      <c r="X25" s="7"/>
      <c r="Y25" s="7"/>
    </row>
    <row r="26" spans="1:61" x14ac:dyDescent="0.3">
      <c r="A26" s="67"/>
      <c r="B26" s="7"/>
      <c r="G26" s="7"/>
      <c r="H26" s="7"/>
      <c r="I26" s="7"/>
      <c r="J26" s="7"/>
      <c r="K26" s="7"/>
      <c r="L26" s="7"/>
      <c r="M26" s="7"/>
      <c r="N26" s="7"/>
      <c r="O26" s="7"/>
      <c r="P26" s="7"/>
      <c r="Q26" s="7"/>
      <c r="R26" s="7"/>
      <c r="S26" s="7"/>
      <c r="T26" s="7"/>
      <c r="U26" s="7"/>
      <c r="V26" s="7"/>
      <c r="W26" s="7"/>
      <c r="X26" s="7"/>
      <c r="Y26" s="7"/>
    </row>
    <row r="27" spans="1:61" x14ac:dyDescent="0.3">
      <c r="G27" s="7"/>
      <c r="H27" s="7"/>
      <c r="I27" s="7"/>
      <c r="J27" s="7"/>
      <c r="K27" s="7"/>
      <c r="L27" s="7"/>
      <c r="M27" s="7"/>
      <c r="N27" s="7"/>
      <c r="O27" s="7"/>
      <c r="P27" s="7"/>
      <c r="Q27" s="7"/>
      <c r="R27" s="7"/>
      <c r="S27" s="7"/>
      <c r="T27" s="7"/>
      <c r="U27" s="7"/>
      <c r="V27" s="7"/>
      <c r="W27" s="7"/>
      <c r="X27" s="7"/>
      <c r="Y27" s="7"/>
    </row>
    <row r="28" spans="1:61" ht="15.6" x14ac:dyDescent="0.35">
      <c r="B28" s="2" t="s">
        <v>129</v>
      </c>
      <c r="C28" s="55">
        <v>10</v>
      </c>
      <c r="D28" s="10" t="s">
        <v>53</v>
      </c>
      <c r="Z28" s="24" t="s">
        <v>97</v>
      </c>
      <c r="AA28" s="24" t="s">
        <v>367</v>
      </c>
      <c r="AB28" s="24" t="s">
        <v>330</v>
      </c>
      <c r="AC28" s="1"/>
      <c r="AD28" s="24" t="s">
        <v>173</v>
      </c>
      <c r="AE28" s="24" t="s">
        <v>174</v>
      </c>
      <c r="AF28" s="24" t="s">
        <v>175</v>
      </c>
      <c r="AG28" s="24" t="s">
        <v>104</v>
      </c>
      <c r="AH28" s="1"/>
      <c r="AI28" s="24" t="s">
        <v>176</v>
      </c>
      <c r="AJ28" s="24" t="s">
        <v>177</v>
      </c>
      <c r="AK28" s="24" t="s">
        <v>178</v>
      </c>
      <c r="AL28" s="24" t="s">
        <v>105</v>
      </c>
      <c r="AM28" s="1"/>
      <c r="AN28" s="24" t="s">
        <v>179</v>
      </c>
      <c r="AO28" s="24" t="s">
        <v>180</v>
      </c>
      <c r="AP28" s="24" t="s">
        <v>181</v>
      </c>
      <c r="AQ28" s="24" t="s">
        <v>106</v>
      </c>
      <c r="AR28" s="1"/>
      <c r="AS28" s="24" t="s">
        <v>182</v>
      </c>
      <c r="AT28" s="24" t="s">
        <v>183</v>
      </c>
      <c r="AU28" s="24" t="s">
        <v>184</v>
      </c>
      <c r="AV28" s="24" t="s">
        <v>107</v>
      </c>
      <c r="AW28" s="1"/>
      <c r="AX28" s="24" t="s">
        <v>102</v>
      </c>
      <c r="AY28" s="24" t="s">
        <v>103</v>
      </c>
      <c r="AZ28" s="24" t="s">
        <v>185</v>
      </c>
      <c r="BA28" s="24" t="s">
        <v>108</v>
      </c>
      <c r="BC28" s="24" t="s">
        <v>130</v>
      </c>
      <c r="BD28" s="24" t="s">
        <v>61</v>
      </c>
    </row>
    <row r="29" spans="1:61" ht="15.6" x14ac:dyDescent="0.35">
      <c r="B29" s="2" t="s">
        <v>406</v>
      </c>
      <c r="C29" s="49">
        <f>Main!G24</f>
        <v>0.79935871743486953</v>
      </c>
      <c r="D29" s="4" t="s">
        <v>21</v>
      </c>
      <c r="Z29" s="22">
        <v>1</v>
      </c>
      <c r="AA29" s="4" cm="1">
        <f t="array" ref="AA29">_xlfn.IFS(AND($C$64="Yes",$C$78="Yes",$C$92="Yes",$C$50="Yes"),1/((1/AG29)+(1/AL29)+(1/AQ29)+(1/AV29)+(1/BA29)),AND($C$64="Yes",$C$78="Yes",$C$92="Yes",$C$50="No"),1/((1/AG29)+(1/AL29)+(1/AQ29)+(1/AV29)),AND($C$64="Yes",$C$78="Yes",$C$92="No",$C$50="No"),1/((1/AG29)+(1/AL29)+(1/AQ29)),AND($C$64="Yes",$C$78="No",$C$92="No",$C$50="No"),1/((1/AG29)+(1/AL29)),AND($C$64="No",$C$78="No",$C$92="No",$C$50="No"),1/((1/AG29)),AND($C$64="Yes",$C$78="No",$C$92="No",$C$50="Yes"),1/((1/AG29)+(1/AL29)+(1/BA29)), AND($C$64="No",$C$78="No",$C$92="No",$C$50="Yes"),1/((1/AG29)+(1/BA29)), AND($C$64="No",$C$78="Yes",$C$92="No",$C$50="Yes"),1/((1/AG29)+(1/AQ29)+(1/BA29)))</f>
        <v>29672.271520440921</v>
      </c>
      <c r="AB29" s="28">
        <f>$C$29</f>
        <v>0.79935871743486953</v>
      </c>
      <c r="AC29" s="11"/>
      <c r="AD29" s="26">
        <f t="shared" ref="AD29:AD60" si="0">1000/(2*PI()*$Z29*$C$41*$C$37*0.000001)</f>
        <v>30142.981646192304</v>
      </c>
      <c r="AE29" s="27">
        <f t="shared" ref="AE29:AE60" si="1">2*PI()*$Z29*((0.000000001*$C$39)/$C$41)*1000</f>
        <v>1.3089969389957474E-6</v>
      </c>
      <c r="AF29" s="28">
        <f t="shared" ref="AF29:AF60" si="2">($C$38)/$C$41</f>
        <v>0.25</v>
      </c>
      <c r="AG29" s="29">
        <f>SQRT(AF29^(2)+ABS(AD29-AE29)^(2))</f>
        <v>30142.981645920034</v>
      </c>
      <c r="AI29" s="26">
        <f t="shared" ref="AI29:AI60" si="3">1000/(2*PI()*$Z29*$C$69*$C$65*0.000001)</f>
        <v>1989436.788648692</v>
      </c>
      <c r="AJ29" s="27">
        <f t="shared" ref="AJ29:AJ60" si="4">2*PI()*$Z29*((0.000000001*$C$67)/$C$69)*1000</f>
        <v>4.71238898038469E-8</v>
      </c>
      <c r="AK29" s="29">
        <f t="shared" ref="AK29:AK60" si="5">($C$66)/$C$69</f>
        <v>0.125</v>
      </c>
      <c r="AL29" s="29">
        <f t="shared" ref="AL29:AL60" si="6">IF($C$64="Yes", SQRT(AK29^(2)+ABS(AI29-AJ29)^(2)), NA())</f>
        <v>1989436.7886486489</v>
      </c>
      <c r="AN29" s="26">
        <f t="shared" ref="AN29:AN60" si="7">1000/(2*PI()*$Z29*$C$82*$C$79*0.000001)</f>
        <v>15915494.309189536</v>
      </c>
      <c r="AO29" s="27">
        <f t="shared" ref="AO29:AO60" si="8">2*PI()*$Z29*((0.000000001*$C$81)/$C$82)*1000</f>
        <v>3.7699111843077517E-6</v>
      </c>
      <c r="AP29" s="29">
        <f t="shared" ref="AP29:AP60" si="9">($C$80)/$C$82</f>
        <v>10</v>
      </c>
      <c r="AQ29" s="29" t="e">
        <f t="shared" ref="AQ29:AQ60" si="10">IF($C$78="Yes", SQRT(AP29^(2)+ABS(AN29-AO29)^(2)), NA())</f>
        <v>#N/A</v>
      </c>
      <c r="AS29" s="26">
        <f t="shared" ref="AS29:AS60" si="11">1000/(2*PI()*$Z29*$C$97*$C$93*0.000001)</f>
        <v>241143853.16953838</v>
      </c>
      <c r="AT29" s="27">
        <f t="shared" ref="AT29:AT60" si="12">2*PI()*$Z29*((0.000000001*$C$95)/$C$97)*1000</f>
        <v>1.8849555921538758E-6</v>
      </c>
      <c r="AU29" s="29">
        <f t="shared" ref="AU29:AU60" si="13">($C$94)/$C$97</f>
        <v>5</v>
      </c>
      <c r="AV29" s="29" t="e">
        <f t="shared" ref="AV29:AV60" si="14">IF($C$92="Yes", SQRT(AU29^(2)+ABS(AS29-AT29)^(2)), NA())</f>
        <v>#N/A</v>
      </c>
      <c r="AX29" s="26">
        <f t="shared" ref="AX29:AX60" si="15">1000/(2*PI()*$Z29*$C$55*$C$51*0.000001)</f>
        <v>42328442.311674297</v>
      </c>
      <c r="AY29" s="27">
        <f t="shared" ref="AY29:AY60" si="16">2*PI()*$Z29*((0.000000001*$C$53)/$C$55)*1000</f>
        <v>4.71238898038469E-8</v>
      </c>
      <c r="AZ29" s="29">
        <f t="shared" ref="AZ29:AZ60" si="17">($C$52)/$C$55</f>
        <v>0.125</v>
      </c>
      <c r="BA29" s="29">
        <f t="shared" ref="BA29:BA60" si="18">IF($C$50="Yes", SQRT(AZ29^(2)+ABS(AX29-AY29)^(2)), NA())</f>
        <v>42328442.311674252</v>
      </c>
      <c r="BC29" s="25">
        <f>C30*1000</f>
        <v>38191.629296581727</v>
      </c>
      <c r="BD29" s="4">
        <v>1.0000000000000001E-5</v>
      </c>
      <c r="BI29" s="11"/>
    </row>
    <row r="30" spans="1:61" ht="15.6" x14ac:dyDescent="0.35">
      <c r="B30" s="2" t="s">
        <v>27</v>
      </c>
      <c r="C30" s="50">
        <f>Main!G30</f>
        <v>38.191629296581723</v>
      </c>
      <c r="D30" s="4" t="s">
        <v>4</v>
      </c>
      <c r="Z30" s="22">
        <v>2</v>
      </c>
      <c r="AA30" s="4" cm="1">
        <f t="array" ref="AA30">_xlfn.IFS(AND($C$64="Yes",$C$78="Yes",$C$92="Yes",$C$50="Yes"),1/((1/AG30)+(1/AL30)+(1/AQ30)+(1/AV30)+(1/BA30)),AND($C$64="Yes",$C$78="Yes",$C$92="Yes",$C$50="No"),1/((1/AG30)+(1/AL30)+(1/AQ30)+(1/AV30)),AND($C$64="Yes",$C$78="Yes",$C$92="No",$C$50="No"),1/((1/AG30)+(1/AL30)+(1/AQ30)),AND($C$64="Yes",$C$78="No",$C$92="No",$C$50="No"),1/((1/AG30)+(1/AL30)),AND($C$64="No",$C$78="No",$C$92="No",$C$50="No"),1/((1/AG30)),AND($C$64="Yes",$C$78="No",$C$92="No",$C$50="Yes"),1/((1/AG30)+(1/AL30)+(1/BA30)), AND($C$64="No",$C$78="No",$C$92="No",$C$50="Yes"),1/((1/AG30)+(1/BA30)), AND($C$64="No",$C$78="Yes",$C$92="No",$C$50="Yes"),1/((1/AG30)+(1/AQ30)+(1/BA30)))</f>
        <v>14836.135759824694</v>
      </c>
      <c r="AB30" s="28">
        <f t="shared" ref="AB30:AB93" si="19">$C$29</f>
        <v>0.79935871743486953</v>
      </c>
      <c r="AD30" s="26">
        <f t="shared" si="0"/>
        <v>15071.490823096152</v>
      </c>
      <c r="AE30" s="27">
        <f t="shared" si="1"/>
        <v>2.6179938779914947E-6</v>
      </c>
      <c r="AF30" s="28">
        <f t="shared" si="2"/>
        <v>0.25</v>
      </c>
      <c r="AG30" s="29">
        <f t="shared" ref="AG30:AG93" si="20">SQRT(AF30^(2)+ABS(AD30-AE30)^(2))</f>
        <v>15071.49082255161</v>
      </c>
      <c r="AI30" s="26">
        <f t="shared" si="3"/>
        <v>994718.39432434598</v>
      </c>
      <c r="AJ30" s="27">
        <f t="shared" si="4"/>
        <v>9.4247779607693799E-8</v>
      </c>
      <c r="AK30" s="29">
        <f t="shared" si="5"/>
        <v>0.125</v>
      </c>
      <c r="AL30" s="29">
        <f t="shared" si="6"/>
        <v>994718.39432425948</v>
      </c>
      <c r="AN30" s="26">
        <f t="shared" si="7"/>
        <v>7957747.1545947678</v>
      </c>
      <c r="AO30" s="27">
        <f t="shared" si="8"/>
        <v>7.5398223686155033E-6</v>
      </c>
      <c r="AP30" s="29">
        <f t="shared" si="9"/>
        <v>10</v>
      </c>
      <c r="AQ30" s="29" t="e">
        <f t="shared" si="10"/>
        <v>#N/A</v>
      </c>
      <c r="AS30" s="26">
        <f t="shared" si="11"/>
        <v>120571926.58476919</v>
      </c>
      <c r="AT30" s="27">
        <f t="shared" si="12"/>
        <v>3.7699111843077517E-6</v>
      </c>
      <c r="AU30" s="29">
        <f t="shared" si="13"/>
        <v>5</v>
      </c>
      <c r="AV30" s="29" t="e">
        <f t="shared" si="14"/>
        <v>#N/A</v>
      </c>
      <c r="AX30" s="26">
        <f t="shared" si="15"/>
        <v>21164221.155837148</v>
      </c>
      <c r="AY30" s="27">
        <f t="shared" si="16"/>
        <v>9.4247779607693799E-8</v>
      </c>
      <c r="AZ30" s="29">
        <f t="shared" si="17"/>
        <v>0.125</v>
      </c>
      <c r="BA30" s="29">
        <f t="shared" si="18"/>
        <v>21164221.155837055</v>
      </c>
      <c r="BC30" s="30"/>
      <c r="BD30" s="11"/>
      <c r="BI30" s="11"/>
    </row>
    <row r="31" spans="1:61" ht="15.6" x14ac:dyDescent="0.35">
      <c r="B31" s="2" t="s">
        <v>11</v>
      </c>
      <c r="C31" s="49">
        <f>Main!C27</f>
        <v>0.99919839679358702</v>
      </c>
      <c r="D31" s="4" t="s">
        <v>0</v>
      </c>
      <c r="Z31" s="22">
        <v>3</v>
      </c>
      <c r="AA31" s="4" cm="1">
        <f t="array" ref="AA31">_xlfn.IFS(AND($C$64="Yes",$C$78="Yes",$C$92="Yes",$C$50="Yes"),1/((1/AG31)+(1/AL31)+(1/AQ31)+(1/AV31)+(1/BA31)),AND($C$64="Yes",$C$78="Yes",$C$92="Yes",$C$50="No"),1/((1/AG31)+(1/AL31)+(1/AQ31)+(1/AV31)),AND($C$64="Yes",$C$78="Yes",$C$92="No",$C$50="No"),1/((1/AG31)+(1/AL31)+(1/AQ31)),AND($C$64="Yes",$C$78="No",$C$92="No",$C$50="No"),1/((1/AG31)+(1/AL31)),AND($C$64="No",$C$78="No",$C$92="No",$C$50="No"),1/((1/AG31)),AND($C$64="Yes",$C$78="No",$C$92="No",$C$50="Yes"),1/((1/AG31)+(1/AL31)+(1/BA31)), AND($C$64="No",$C$78="No",$C$92="No",$C$50="Yes"),1/((1/AG31)+(1/BA31)), AND($C$64="No",$C$78="Yes",$C$92="No",$C$50="Yes"),1/((1/AG31)+(1/AQ31)+(1/BA31)))</f>
        <v>9890.7571727767227</v>
      </c>
      <c r="AB31" s="28">
        <f t="shared" si="19"/>
        <v>0.79935871743486953</v>
      </c>
      <c r="AD31" s="26">
        <f t="shared" si="0"/>
        <v>10047.660548730768</v>
      </c>
      <c r="AE31" s="27">
        <f t="shared" si="1"/>
        <v>3.926990816987241E-6</v>
      </c>
      <c r="AF31" s="28">
        <f t="shared" si="2"/>
        <v>0.25</v>
      </c>
      <c r="AG31" s="29">
        <f t="shared" si="20"/>
        <v>10047.660547913954</v>
      </c>
      <c r="AI31" s="26">
        <f t="shared" si="3"/>
        <v>663145.59621623065</v>
      </c>
      <c r="AJ31" s="27">
        <f t="shared" si="4"/>
        <v>1.4137166941154069E-7</v>
      </c>
      <c r="AK31" s="29">
        <f t="shared" si="5"/>
        <v>0.125</v>
      </c>
      <c r="AL31" s="29">
        <f t="shared" si="6"/>
        <v>663145.59621610108</v>
      </c>
      <c r="AN31" s="26">
        <f t="shared" si="7"/>
        <v>5305164.7697298452</v>
      </c>
      <c r="AO31" s="27">
        <f t="shared" si="8"/>
        <v>1.1309733552923255E-5</v>
      </c>
      <c r="AP31" s="29">
        <f t="shared" si="9"/>
        <v>10</v>
      </c>
      <c r="AQ31" s="29" t="e">
        <f t="shared" si="10"/>
        <v>#N/A</v>
      </c>
      <c r="AS31" s="26">
        <f t="shared" si="11"/>
        <v>80381284.389846131</v>
      </c>
      <c r="AT31" s="27">
        <f t="shared" si="12"/>
        <v>5.6548667764616275E-6</v>
      </c>
      <c r="AU31" s="29">
        <f t="shared" si="13"/>
        <v>5</v>
      </c>
      <c r="AV31" s="29" t="e">
        <f t="shared" si="14"/>
        <v>#N/A</v>
      </c>
      <c r="AX31" s="26">
        <f t="shared" si="15"/>
        <v>14109480.770558098</v>
      </c>
      <c r="AY31" s="27">
        <f t="shared" si="16"/>
        <v>1.4137166941154069E-7</v>
      </c>
      <c r="AZ31" s="29">
        <f t="shared" si="17"/>
        <v>0.125</v>
      </c>
      <c r="BA31" s="29">
        <f t="shared" si="18"/>
        <v>14109480.770557957</v>
      </c>
      <c r="BC31" s="31" t="s">
        <v>131</v>
      </c>
      <c r="BD31" s="32" t="s">
        <v>61</v>
      </c>
      <c r="BI31" s="11"/>
    </row>
    <row r="32" spans="1:61" x14ac:dyDescent="0.3">
      <c r="B32" s="2" t="s">
        <v>371</v>
      </c>
      <c r="C32" s="45">
        <f>Main!C14</f>
        <v>2</v>
      </c>
      <c r="D32" s="3"/>
      <c r="Z32" s="22">
        <v>4</v>
      </c>
      <c r="AA32" s="4" cm="1">
        <f t="array" ref="AA32">_xlfn.IFS(AND($C$64="Yes",$C$78="Yes",$C$92="Yes",$C$50="Yes"),1/((1/AG32)+(1/AL32)+(1/AQ32)+(1/AV32)+(1/BA32)),AND($C$64="Yes",$C$78="Yes",$C$92="Yes",$C$50="No"),1/((1/AG32)+(1/AL32)+(1/AQ32)+(1/AV32)),AND($C$64="Yes",$C$78="Yes",$C$92="No",$C$50="No"),1/((1/AG32)+(1/AL32)+(1/AQ32)),AND($C$64="Yes",$C$78="No",$C$92="No",$C$50="No"),1/((1/AG32)+(1/AL32)),AND($C$64="No",$C$78="No",$C$92="No",$C$50="No"),1/((1/AG32)),AND($C$64="Yes",$C$78="No",$C$92="No",$C$50="Yes"),1/((1/AG32)+(1/AL32)+(1/BA32)), AND($C$64="No",$C$78="No",$C$92="No",$C$50="Yes"),1/((1/AG32)+(1/BA32)), AND($C$64="No",$C$78="Yes",$C$92="No",$C$50="Yes"),1/((1/AG32)+(1/AQ32)+(1/BA32)))</f>
        <v>7418.0678791208165</v>
      </c>
      <c r="AB32" s="28">
        <f t="shared" si="19"/>
        <v>0.79935871743486953</v>
      </c>
      <c r="AD32" s="26">
        <f t="shared" si="0"/>
        <v>7535.7454115480759</v>
      </c>
      <c r="AE32" s="27">
        <f t="shared" si="1"/>
        <v>5.2359877559829894E-6</v>
      </c>
      <c r="AF32" s="28">
        <f t="shared" si="2"/>
        <v>0.25</v>
      </c>
      <c r="AG32" s="29">
        <f t="shared" si="20"/>
        <v>7535.7454104589906</v>
      </c>
      <c r="AI32" s="26">
        <f t="shared" si="3"/>
        <v>497359.19716217299</v>
      </c>
      <c r="AJ32" s="27">
        <f t="shared" si="4"/>
        <v>1.884955592153876E-7</v>
      </c>
      <c r="AK32" s="29">
        <f t="shared" si="5"/>
        <v>0.125</v>
      </c>
      <c r="AL32" s="29">
        <f t="shared" si="6"/>
        <v>497359.19716200023</v>
      </c>
      <c r="AN32" s="26">
        <f t="shared" si="7"/>
        <v>3978873.5772973839</v>
      </c>
      <c r="AO32" s="27">
        <f t="shared" si="8"/>
        <v>1.5079644737231007E-5</v>
      </c>
      <c r="AP32" s="29">
        <f t="shared" si="9"/>
        <v>10</v>
      </c>
      <c r="AQ32" s="29" t="e">
        <f t="shared" si="10"/>
        <v>#N/A</v>
      </c>
      <c r="AS32" s="26">
        <f t="shared" si="11"/>
        <v>60285963.292384595</v>
      </c>
      <c r="AT32" s="27">
        <f t="shared" si="12"/>
        <v>7.5398223686155033E-6</v>
      </c>
      <c r="AU32" s="29">
        <f t="shared" si="13"/>
        <v>5</v>
      </c>
      <c r="AV32" s="29" t="e">
        <f t="shared" si="14"/>
        <v>#N/A</v>
      </c>
      <c r="AX32" s="26">
        <f t="shared" si="15"/>
        <v>10582110.577918574</v>
      </c>
      <c r="AY32" s="27">
        <f t="shared" si="16"/>
        <v>1.884955592153876E-7</v>
      </c>
      <c r="AZ32" s="29">
        <f t="shared" si="17"/>
        <v>0.125</v>
      </c>
      <c r="BA32" s="29">
        <f t="shared" si="18"/>
        <v>10582110.577918386</v>
      </c>
      <c r="BC32" s="25">
        <f>0.35/(C28*0.000000001)</f>
        <v>35000000</v>
      </c>
      <c r="BD32" s="28">
        <v>1.0000000000000001E-5</v>
      </c>
      <c r="BI32" s="11"/>
    </row>
    <row r="33" spans="2:61" ht="15.6" x14ac:dyDescent="0.35">
      <c r="B33" s="2" t="s">
        <v>25</v>
      </c>
      <c r="C33" s="60">
        <f>Main!C12</f>
        <v>500</v>
      </c>
      <c r="D33" s="3" t="s">
        <v>4</v>
      </c>
      <c r="Z33" s="22">
        <v>5</v>
      </c>
      <c r="AA33" s="4" cm="1">
        <f t="array" ref="AA33">_xlfn.IFS(AND($C$64="Yes",$C$78="Yes",$C$92="Yes",$C$50="Yes"),1/((1/AG33)+(1/AL33)+(1/AQ33)+(1/AV33)+(1/BA33)),AND($C$64="Yes",$C$78="Yes",$C$92="Yes",$C$50="No"),1/((1/AG33)+(1/AL33)+(1/AQ33)+(1/AV33)),AND($C$64="Yes",$C$78="Yes",$C$92="No",$C$50="No"),1/((1/AG33)+(1/AL33)+(1/AQ33)),AND($C$64="Yes",$C$78="No",$C$92="No",$C$50="No"),1/((1/AG33)+(1/AL33)),AND($C$64="No",$C$78="No",$C$92="No",$C$50="No"),1/((1/AG33)),AND($C$64="Yes",$C$78="No",$C$92="No",$C$50="Yes"),1/((1/AG33)+(1/AL33)+(1/BA33)), AND($C$64="No",$C$78="No",$C$92="No",$C$50="Yes"),1/((1/AG33)+(1/BA33)), AND($C$64="No",$C$78="Yes",$C$92="No",$C$50="Yes"),1/((1/AG33)+(1/AQ33)+(1/BA33)))</f>
        <v>5934.4543028217331</v>
      </c>
      <c r="AB33" s="28">
        <f t="shared" si="19"/>
        <v>0.79935871743486953</v>
      </c>
      <c r="AD33" s="26">
        <f t="shared" si="0"/>
        <v>6028.5963292384613</v>
      </c>
      <c r="AE33" s="27">
        <f t="shared" si="1"/>
        <v>6.5449846949787362E-6</v>
      </c>
      <c r="AF33" s="28">
        <f t="shared" si="2"/>
        <v>0.25</v>
      </c>
      <c r="AG33" s="29">
        <f t="shared" si="20"/>
        <v>6028.5963278771042</v>
      </c>
      <c r="AI33" s="26">
        <f t="shared" si="3"/>
        <v>397887.35772973835</v>
      </c>
      <c r="AJ33" s="27">
        <f t="shared" si="4"/>
        <v>2.3561944901923448E-7</v>
      </c>
      <c r="AK33" s="29">
        <f t="shared" si="5"/>
        <v>0.125</v>
      </c>
      <c r="AL33" s="29">
        <f t="shared" si="6"/>
        <v>397887.35772952234</v>
      </c>
      <c r="AN33" s="26">
        <f t="shared" si="7"/>
        <v>3183098.8618379068</v>
      </c>
      <c r="AO33" s="27">
        <f t="shared" si="8"/>
        <v>1.8849555921538758E-5</v>
      </c>
      <c r="AP33" s="29">
        <f t="shared" si="9"/>
        <v>10</v>
      </c>
      <c r="AQ33" s="29" t="e">
        <f t="shared" si="10"/>
        <v>#N/A</v>
      </c>
      <c r="AS33" s="26">
        <f t="shared" si="11"/>
        <v>48228770.633907683</v>
      </c>
      <c r="AT33" s="27">
        <f t="shared" si="12"/>
        <v>9.4247779607693791E-6</v>
      </c>
      <c r="AU33" s="29">
        <f t="shared" si="13"/>
        <v>5</v>
      </c>
      <c r="AV33" s="29" t="e">
        <f t="shared" si="14"/>
        <v>#N/A</v>
      </c>
      <c r="AX33" s="26">
        <f t="shared" si="15"/>
        <v>8465688.4623348601</v>
      </c>
      <c r="AY33" s="27">
        <f t="shared" si="16"/>
        <v>2.3561944901923448E-7</v>
      </c>
      <c r="AZ33" s="29">
        <f t="shared" si="17"/>
        <v>0.125</v>
      </c>
      <c r="BA33" s="29">
        <f t="shared" si="18"/>
        <v>8465688.4623346254</v>
      </c>
      <c r="BC33" s="30"/>
      <c r="BD33" s="11"/>
      <c r="BI33" s="11"/>
    </row>
    <row r="34" spans="2:61" ht="15.6" x14ac:dyDescent="0.35">
      <c r="B34" s="2" t="s">
        <v>329</v>
      </c>
      <c r="C34" s="54">
        <f>Main!G28</f>
        <v>4033.0360537190286</v>
      </c>
      <c r="D34" s="10" t="s">
        <v>8</v>
      </c>
      <c r="Z34" s="22">
        <v>6</v>
      </c>
      <c r="AA34" s="4" cm="1">
        <f t="array" ref="AA34">_xlfn.IFS(AND($C$64="Yes",$C$78="Yes",$C$92="Yes",$C$50="Yes"),1/((1/AG34)+(1/AL34)+(1/AQ34)+(1/AV34)+(1/BA34)),AND($C$64="Yes",$C$78="Yes",$C$92="Yes",$C$50="No"),1/((1/AG34)+(1/AL34)+(1/AQ34)+(1/AV34)),AND($C$64="Yes",$C$78="Yes",$C$92="No",$C$50="No"),1/((1/AG34)+(1/AL34)+(1/AQ34)),AND($C$64="Yes",$C$78="No",$C$92="No",$C$50="No"),1/((1/AG34)+(1/AL34)),AND($C$64="No",$C$78="No",$C$92="No",$C$50="No"),1/((1/AG34)),AND($C$64="Yes",$C$78="No",$C$92="No",$C$50="Yes"),1/((1/AG34)+(1/AL34)+(1/BA34)), AND($C$64="No",$C$78="No",$C$92="No",$C$50="Yes"),1/((1/AG34)+(1/BA34)), AND($C$64="No",$C$78="Yes",$C$92="No",$C$50="Yes"),1/((1/AG34)+(1/AQ34)+(1/BA34)))</f>
        <v>4945.3785852010642</v>
      </c>
      <c r="AB34" s="28">
        <f t="shared" si="19"/>
        <v>0.79935871743486953</v>
      </c>
      <c r="AD34" s="26">
        <f t="shared" si="0"/>
        <v>5023.830274365384</v>
      </c>
      <c r="AE34" s="27">
        <f t="shared" si="1"/>
        <v>7.853981633974482E-6</v>
      </c>
      <c r="AF34" s="28">
        <f t="shared" si="2"/>
        <v>0.25</v>
      </c>
      <c r="AG34" s="29">
        <f t="shared" si="20"/>
        <v>5023.8302727317559</v>
      </c>
      <c r="AI34" s="26">
        <f t="shared" si="3"/>
        <v>331572.79810811533</v>
      </c>
      <c r="AJ34" s="27">
        <f t="shared" si="4"/>
        <v>2.8274333882308138E-7</v>
      </c>
      <c r="AK34" s="29">
        <f t="shared" si="5"/>
        <v>0.125</v>
      </c>
      <c r="AL34" s="29">
        <f t="shared" si="6"/>
        <v>331572.79810785619</v>
      </c>
      <c r="AN34" s="26">
        <f t="shared" si="7"/>
        <v>2652582.3848649226</v>
      </c>
      <c r="AO34" s="27">
        <f t="shared" si="8"/>
        <v>2.261946710584651E-5</v>
      </c>
      <c r="AP34" s="29">
        <f t="shared" si="9"/>
        <v>10</v>
      </c>
      <c r="AQ34" s="29" t="e">
        <f t="shared" si="10"/>
        <v>#N/A</v>
      </c>
      <c r="AS34" s="26">
        <f t="shared" si="11"/>
        <v>40190642.194923066</v>
      </c>
      <c r="AT34" s="27">
        <f t="shared" si="12"/>
        <v>1.1309733552923255E-5</v>
      </c>
      <c r="AU34" s="29">
        <f t="shared" si="13"/>
        <v>5</v>
      </c>
      <c r="AV34" s="29" t="e">
        <f t="shared" si="14"/>
        <v>#N/A</v>
      </c>
      <c r="AX34" s="26">
        <f t="shared" si="15"/>
        <v>7054740.3852790492</v>
      </c>
      <c r="AY34" s="27">
        <f t="shared" si="16"/>
        <v>2.8274333882308138E-7</v>
      </c>
      <c r="AZ34" s="29">
        <f t="shared" si="17"/>
        <v>0.125</v>
      </c>
      <c r="BA34" s="29">
        <f t="shared" si="18"/>
        <v>7054740.385278767</v>
      </c>
      <c r="BC34" s="24" t="s">
        <v>138</v>
      </c>
      <c r="BD34" s="24" t="s">
        <v>61</v>
      </c>
      <c r="BE34" s="11"/>
    </row>
    <row r="35" spans="2:61" ht="15.6" x14ac:dyDescent="0.35">
      <c r="B35" s="2" t="s">
        <v>119</v>
      </c>
      <c r="C35" s="54">
        <f>Main!C39</f>
        <v>8.3333333333333321</v>
      </c>
      <c r="D35" s="10" t="s">
        <v>3</v>
      </c>
      <c r="Z35" s="22">
        <v>7</v>
      </c>
      <c r="AA35" s="4" cm="1">
        <f t="array" ref="AA35">_xlfn.IFS(AND($C$64="Yes",$C$78="Yes",$C$92="Yes",$C$50="Yes"),1/((1/AG35)+(1/AL35)+(1/AQ35)+(1/AV35)+(1/BA35)),AND($C$64="Yes",$C$78="Yes",$C$92="Yes",$C$50="No"),1/((1/AG35)+(1/AL35)+(1/AQ35)+(1/AV35)),AND($C$64="Yes",$C$78="Yes",$C$92="No",$C$50="No"),1/((1/AG35)+(1/AL35)+(1/AQ35)),AND($C$64="Yes",$C$78="No",$C$92="No",$C$50="No"),1/((1/AG35)+(1/AL35)),AND($C$64="No",$C$78="No",$C$92="No",$C$50="No"),1/((1/AG35)),AND($C$64="Yes",$C$78="No",$C$92="No",$C$50="Yes"),1/((1/AG35)+(1/AL35)+(1/BA35)), AND($C$64="No",$C$78="No",$C$92="No",$C$50="Yes"),1/((1/AG35)+(1/BA35)), AND($C$64="No",$C$78="Yes",$C$92="No",$C$50="Yes"),1/((1/AG35)+(1/AQ35)+(1/BA35)))</f>
        <v>4238.895929682345</v>
      </c>
      <c r="AB35" s="28">
        <f t="shared" si="19"/>
        <v>0.79935871743486953</v>
      </c>
      <c r="AD35" s="26">
        <f t="shared" si="0"/>
        <v>4306.1402351703291</v>
      </c>
      <c r="AE35" s="27">
        <f t="shared" si="1"/>
        <v>9.1629785729702296E-6</v>
      </c>
      <c r="AF35" s="28">
        <f t="shared" si="2"/>
        <v>0.25</v>
      </c>
      <c r="AG35" s="29">
        <f t="shared" si="20"/>
        <v>4306.1402332644302</v>
      </c>
      <c r="AI35" s="26">
        <f t="shared" si="3"/>
        <v>284205.25552124169</v>
      </c>
      <c r="AJ35" s="27">
        <f t="shared" si="4"/>
        <v>3.2986722862692829E-7</v>
      </c>
      <c r="AK35" s="29">
        <f t="shared" si="5"/>
        <v>0.125</v>
      </c>
      <c r="AL35" s="29">
        <f t="shared" si="6"/>
        <v>284205.2555209393</v>
      </c>
      <c r="AN35" s="26">
        <f t="shared" si="7"/>
        <v>2273642.0441699335</v>
      </c>
      <c r="AO35" s="27">
        <f t="shared" si="8"/>
        <v>2.6389378290154262E-5</v>
      </c>
      <c r="AP35" s="29">
        <f t="shared" si="9"/>
        <v>10</v>
      </c>
      <c r="AQ35" s="29" t="e">
        <f t="shared" si="10"/>
        <v>#N/A</v>
      </c>
      <c r="AS35" s="26">
        <f t="shared" si="11"/>
        <v>34449121.881362624</v>
      </c>
      <c r="AT35" s="27">
        <f t="shared" si="12"/>
        <v>1.3194689145077131E-5</v>
      </c>
      <c r="AU35" s="29">
        <f t="shared" si="13"/>
        <v>5</v>
      </c>
      <c r="AV35" s="29" t="e">
        <f t="shared" si="14"/>
        <v>#N/A</v>
      </c>
      <c r="AX35" s="26">
        <f t="shared" si="15"/>
        <v>6046920.3302391842</v>
      </c>
      <c r="AY35" s="27">
        <f t="shared" si="16"/>
        <v>3.2986722862692829E-7</v>
      </c>
      <c r="AZ35" s="29">
        <f t="shared" si="17"/>
        <v>0.125</v>
      </c>
      <c r="BA35" s="29">
        <f t="shared" si="18"/>
        <v>6046920.3302388554</v>
      </c>
      <c r="BC35" s="4">
        <f>$C$33*1000</f>
        <v>500000</v>
      </c>
      <c r="BD35" s="4">
        <v>1.0000000000000001E-5</v>
      </c>
      <c r="BE35" s="11"/>
    </row>
    <row r="36" spans="2:61" x14ac:dyDescent="0.3">
      <c r="B36" s="1"/>
      <c r="C36" s="8"/>
      <c r="H36" s="2" t="s">
        <v>66</v>
      </c>
      <c r="I36" s="22" t="s">
        <v>331</v>
      </c>
      <c r="Z36" s="22">
        <v>8</v>
      </c>
      <c r="AA36" s="4" cm="1">
        <f t="array" ref="AA36">_xlfn.IFS(AND($C$64="Yes",$C$78="Yes",$C$92="Yes",$C$50="Yes"),1/((1/AG36)+(1/AL36)+(1/AQ36)+(1/AV36)+(1/BA36)),AND($C$64="Yes",$C$78="Yes",$C$92="Yes",$C$50="No"),1/((1/AG36)+(1/AL36)+(1/AQ36)+(1/AV36)),AND($C$64="Yes",$C$78="Yes",$C$92="No",$C$50="No"),1/((1/AG36)+(1/AL36)+(1/AQ36)),AND($C$64="Yes",$C$78="No",$C$92="No",$C$50="No"),1/((1/AG36)+(1/AL36)),AND($C$64="No",$C$78="No",$C$92="No",$C$50="No"),1/((1/AG36)),AND($C$64="Yes",$C$78="No",$C$92="No",$C$50="Yes"),1/((1/AG36)+(1/AL36)+(1/BA36)), AND($C$64="No",$C$78="No",$C$92="No",$C$50="Yes"),1/((1/AG36)+(1/BA36)), AND($C$64="No",$C$78="Yes",$C$92="No",$C$50="Yes"),1/((1/AG36)+(1/AQ36)+(1/BA36)))</f>
        <v>3709.0339379773432</v>
      </c>
      <c r="AB36" s="28">
        <f t="shared" si="19"/>
        <v>0.79935871743486953</v>
      </c>
      <c r="AD36" s="26">
        <f t="shared" si="0"/>
        <v>3767.872705774038</v>
      </c>
      <c r="AE36" s="27">
        <f t="shared" si="1"/>
        <v>1.0471975511965979E-5</v>
      </c>
      <c r="AF36" s="28">
        <f t="shared" si="2"/>
        <v>0.25</v>
      </c>
      <c r="AG36" s="29">
        <f t="shared" si="20"/>
        <v>3767.8727035958668</v>
      </c>
      <c r="AI36" s="26">
        <f t="shared" si="3"/>
        <v>248679.59858108649</v>
      </c>
      <c r="AJ36" s="27">
        <f t="shared" si="4"/>
        <v>3.769911184307752E-7</v>
      </c>
      <c r="AK36" s="29">
        <f t="shared" si="5"/>
        <v>0.125</v>
      </c>
      <c r="AL36" s="29">
        <f t="shared" si="6"/>
        <v>248679.59858074092</v>
      </c>
      <c r="AN36" s="26">
        <f t="shared" si="7"/>
        <v>1989436.788648692</v>
      </c>
      <c r="AO36" s="27">
        <f t="shared" si="8"/>
        <v>3.0159289474462013E-5</v>
      </c>
      <c r="AP36" s="29">
        <f t="shared" si="9"/>
        <v>10</v>
      </c>
      <c r="AQ36" s="29" t="e">
        <f t="shared" si="10"/>
        <v>#N/A</v>
      </c>
      <c r="AS36" s="26">
        <f t="shared" si="11"/>
        <v>30142981.646192297</v>
      </c>
      <c r="AT36" s="27">
        <f t="shared" si="12"/>
        <v>1.5079644737231007E-5</v>
      </c>
      <c r="AU36" s="29">
        <f t="shared" si="13"/>
        <v>5</v>
      </c>
      <c r="AV36" s="29" t="e">
        <f t="shared" si="14"/>
        <v>#N/A</v>
      </c>
      <c r="AX36" s="26">
        <f t="shared" si="15"/>
        <v>5291055.2889592871</v>
      </c>
      <c r="AY36" s="27">
        <f t="shared" si="16"/>
        <v>3.769911184307752E-7</v>
      </c>
      <c r="AZ36" s="29">
        <f t="shared" si="17"/>
        <v>0.125</v>
      </c>
      <c r="BA36" s="29">
        <f t="shared" si="18"/>
        <v>5291055.2889589118</v>
      </c>
      <c r="BC36" s="30"/>
      <c r="BE36" s="11"/>
    </row>
    <row r="37" spans="2:61" ht="15.6" x14ac:dyDescent="0.35">
      <c r="B37" s="2" t="s">
        <v>36</v>
      </c>
      <c r="C37" s="55">
        <v>220</v>
      </c>
      <c r="D37" s="10" t="s">
        <v>8</v>
      </c>
      <c r="H37" s="2" t="s">
        <v>68</v>
      </c>
      <c r="I37" s="22">
        <v>220</v>
      </c>
      <c r="Z37" s="22">
        <v>9</v>
      </c>
      <c r="AA37" s="4" cm="1">
        <f t="array" ref="AA37">_xlfn.IFS(AND($C$64="Yes",$C$78="Yes",$C$92="Yes",$C$50="Yes"),1/((1/AG37)+(1/AL37)+(1/AQ37)+(1/AV37)+(1/BA37)),AND($C$64="Yes",$C$78="Yes",$C$92="Yes",$C$50="No"),1/((1/AG37)+(1/AL37)+(1/AQ37)+(1/AV37)),AND($C$64="Yes",$C$78="Yes",$C$92="No",$C$50="No"),1/((1/AG37)+(1/AL37)+(1/AQ37)),AND($C$64="Yes",$C$78="No",$C$92="No",$C$50="No"),1/((1/AG37)+(1/AL37)),AND($C$64="No",$C$78="No",$C$92="No",$C$50="No"),1/((1/AG37)),AND($C$64="Yes",$C$78="No",$C$92="No",$C$50="Yes"),1/((1/AG37)+(1/AL37)+(1/BA37)), AND($C$64="No",$C$78="No",$C$92="No",$C$50="Yes"),1/((1/AG37)+(1/BA37)), AND($C$64="No",$C$78="Yes",$C$92="No",$C$50="Yes"),1/((1/AG37)+(1/AQ37)+(1/BA37)))</f>
        <v>3296.9190554814895</v>
      </c>
      <c r="AB37" s="28">
        <f t="shared" si="19"/>
        <v>0.79935871743486953</v>
      </c>
      <c r="AD37" s="26">
        <f t="shared" si="0"/>
        <v>3349.220182910256</v>
      </c>
      <c r="AE37" s="27">
        <f t="shared" si="1"/>
        <v>1.1780972450961725E-5</v>
      </c>
      <c r="AF37" s="28">
        <f t="shared" si="2"/>
        <v>0.25</v>
      </c>
      <c r="AG37" s="29">
        <f t="shared" si="20"/>
        <v>3349.2201804598139</v>
      </c>
      <c r="AI37" s="26">
        <f t="shared" si="3"/>
        <v>221048.53207207687</v>
      </c>
      <c r="AJ37" s="27">
        <f t="shared" si="4"/>
        <v>4.2411500823462205E-7</v>
      </c>
      <c r="AK37" s="29">
        <f t="shared" si="5"/>
        <v>0.125</v>
      </c>
      <c r="AL37" s="29">
        <f t="shared" si="6"/>
        <v>221048.5320716881</v>
      </c>
      <c r="AN37" s="26">
        <f t="shared" si="7"/>
        <v>1768388.2565766149</v>
      </c>
      <c r="AO37" s="27">
        <f t="shared" si="8"/>
        <v>3.3929200658769765E-5</v>
      </c>
      <c r="AP37" s="29">
        <f t="shared" si="9"/>
        <v>10</v>
      </c>
      <c r="AQ37" s="29" t="e">
        <f t="shared" si="10"/>
        <v>#N/A</v>
      </c>
      <c r="AS37" s="26">
        <f t="shared" si="11"/>
        <v>26793761.463282045</v>
      </c>
      <c r="AT37" s="27">
        <f t="shared" si="12"/>
        <v>1.6964600329384882E-5</v>
      </c>
      <c r="AU37" s="29">
        <f t="shared" si="13"/>
        <v>5</v>
      </c>
      <c r="AV37" s="29" t="e">
        <f t="shared" si="14"/>
        <v>#N/A</v>
      </c>
      <c r="AX37" s="26">
        <f t="shared" si="15"/>
        <v>4703160.2568526985</v>
      </c>
      <c r="AY37" s="27">
        <f t="shared" si="16"/>
        <v>4.2411500823462205E-7</v>
      </c>
      <c r="AZ37" s="29">
        <f t="shared" si="17"/>
        <v>0.125</v>
      </c>
      <c r="BA37" s="29">
        <f t="shared" si="18"/>
        <v>4703160.2568522766</v>
      </c>
      <c r="BC37" s="30"/>
      <c r="BE37" s="11"/>
    </row>
    <row r="38" spans="2:61" x14ac:dyDescent="0.3">
      <c r="B38" s="2" t="s">
        <v>37</v>
      </c>
      <c r="C38" s="55">
        <v>6</v>
      </c>
      <c r="D38" s="4" t="s">
        <v>21</v>
      </c>
      <c r="H38" s="2" t="s">
        <v>67</v>
      </c>
      <c r="I38" s="22">
        <v>6</v>
      </c>
      <c r="Z38" s="22">
        <v>10</v>
      </c>
      <c r="AA38" s="4" cm="1">
        <f t="array" ref="AA38">_xlfn.IFS(AND($C$64="Yes",$C$78="Yes",$C$92="Yes",$C$50="Yes"),1/((1/AG38)+(1/AL38)+(1/AQ38)+(1/AV38)+(1/BA38)),AND($C$64="Yes",$C$78="Yes",$C$92="Yes",$C$50="No"),1/((1/AG38)+(1/AL38)+(1/AQ38)+(1/AV38)),AND($C$64="Yes",$C$78="Yes",$C$92="No",$C$50="No"),1/((1/AG38)+(1/AL38)+(1/AQ38)),AND($C$64="Yes",$C$78="No",$C$92="No",$C$50="No"),1/((1/AG38)+(1/AL38)),AND($C$64="No",$C$78="No",$C$92="No",$C$50="No"),1/((1/AG38)),AND($C$64="Yes",$C$78="No",$C$92="No",$C$50="Yes"),1/((1/AG38)+(1/AL38)+(1/BA38)), AND($C$64="No",$C$78="No",$C$92="No",$C$50="Yes"),1/((1/AG38)+(1/BA38)), AND($C$64="No",$C$78="Yes",$C$92="No",$C$50="Yes"),1/((1/AG38)+(1/AQ38)+(1/BA38)))</f>
        <v>2967.227149432038</v>
      </c>
      <c r="AB38" s="28">
        <f t="shared" si="19"/>
        <v>0.79935871743486953</v>
      </c>
      <c r="AD38" s="26">
        <f t="shared" si="0"/>
        <v>3014.2981646192306</v>
      </c>
      <c r="AE38" s="27">
        <f t="shared" si="1"/>
        <v>1.3089969389957472E-5</v>
      </c>
      <c r="AF38" s="28">
        <f t="shared" si="2"/>
        <v>0.25</v>
      </c>
      <c r="AG38" s="29">
        <f t="shared" si="20"/>
        <v>3014.2981618965173</v>
      </c>
      <c r="AI38" s="26">
        <f t="shared" si="3"/>
        <v>198943.67886486917</v>
      </c>
      <c r="AJ38" s="27">
        <f t="shared" si="4"/>
        <v>4.7123889803846896E-7</v>
      </c>
      <c r="AK38" s="29">
        <f t="shared" si="5"/>
        <v>0.125</v>
      </c>
      <c r="AL38" s="29">
        <f t="shared" si="6"/>
        <v>198943.67886443721</v>
      </c>
      <c r="AN38" s="26">
        <f t="shared" si="7"/>
        <v>1591549.4309189534</v>
      </c>
      <c r="AO38" s="27">
        <f t="shared" si="8"/>
        <v>3.7699111843077517E-5</v>
      </c>
      <c r="AP38" s="29">
        <f t="shared" si="9"/>
        <v>10</v>
      </c>
      <c r="AQ38" s="29" t="e">
        <f t="shared" si="10"/>
        <v>#N/A</v>
      </c>
      <c r="AS38" s="26">
        <f t="shared" si="11"/>
        <v>24114385.316953842</v>
      </c>
      <c r="AT38" s="27">
        <f t="shared" si="12"/>
        <v>1.8849555921538758E-5</v>
      </c>
      <c r="AU38" s="29">
        <f t="shared" si="13"/>
        <v>5</v>
      </c>
      <c r="AV38" s="29" t="e">
        <f t="shared" si="14"/>
        <v>#N/A</v>
      </c>
      <c r="AX38" s="26">
        <f t="shared" si="15"/>
        <v>4232844.2311674301</v>
      </c>
      <c r="AY38" s="27">
        <f t="shared" si="16"/>
        <v>4.7123889803846896E-7</v>
      </c>
      <c r="AZ38" s="29">
        <f t="shared" si="17"/>
        <v>0.125</v>
      </c>
      <c r="BA38" s="29">
        <f t="shared" si="18"/>
        <v>4232844.2311669607</v>
      </c>
      <c r="BC38" s="30"/>
      <c r="BE38" s="11"/>
    </row>
    <row r="39" spans="2:61" x14ac:dyDescent="0.3">
      <c r="B39" s="2" t="s">
        <v>38</v>
      </c>
      <c r="C39" s="55">
        <v>5</v>
      </c>
      <c r="D39" s="4" t="s">
        <v>5</v>
      </c>
      <c r="H39" s="2" t="s">
        <v>69</v>
      </c>
      <c r="I39" s="22">
        <v>10</v>
      </c>
      <c r="Z39" s="22">
        <v>15</v>
      </c>
      <c r="AA39" s="4" cm="1">
        <f t="array" ref="AA39">_xlfn.IFS(AND($C$64="Yes",$C$78="Yes",$C$92="Yes",$C$50="Yes"),1/((1/AG39)+(1/AL39)+(1/AQ39)+(1/AV39)+(1/BA39)),AND($C$64="Yes",$C$78="Yes",$C$92="Yes",$C$50="No"),1/((1/AG39)+(1/AL39)+(1/AQ39)+(1/AV39)),AND($C$64="Yes",$C$78="Yes",$C$92="No",$C$50="No"),1/((1/AG39)+(1/AL39)+(1/AQ39)),AND($C$64="Yes",$C$78="No",$C$92="No",$C$50="No"),1/((1/AG39)+(1/AL39)),AND($C$64="No",$C$78="No",$C$92="No",$C$50="No"),1/((1/AG39)),AND($C$64="Yes",$C$78="No",$C$92="No",$C$50="Yes"),1/((1/AG39)+(1/AL39)+(1/BA39)), AND($C$64="No",$C$78="No",$C$92="No",$C$50="Yes"),1/((1/AG39)+(1/BA39)), AND($C$64="No",$C$78="Yes",$C$92="No",$C$50="Yes"),1/((1/AG39)+(1/AQ39)+(1/BA39)))</f>
        <v>1978.1514307559935</v>
      </c>
      <c r="AB39" s="28">
        <f t="shared" si="19"/>
        <v>0.79935871743486953</v>
      </c>
      <c r="AD39" s="26">
        <f t="shared" si="0"/>
        <v>2009.5321097461538</v>
      </c>
      <c r="AE39" s="27">
        <f t="shared" si="1"/>
        <v>1.9634954084936203E-5</v>
      </c>
      <c r="AF39" s="28">
        <f t="shared" si="2"/>
        <v>0.25</v>
      </c>
      <c r="AG39" s="29">
        <f t="shared" si="20"/>
        <v>2009.5321056620835</v>
      </c>
      <c r="AI39" s="26">
        <f t="shared" si="3"/>
        <v>132629.11924324612</v>
      </c>
      <c r="AJ39" s="27">
        <f t="shared" si="4"/>
        <v>7.0685834705770344E-7</v>
      </c>
      <c r="AK39" s="29">
        <f t="shared" si="5"/>
        <v>0.125</v>
      </c>
      <c r="AL39" s="29">
        <f t="shared" si="6"/>
        <v>132629.11924259819</v>
      </c>
      <c r="AN39" s="26">
        <f t="shared" si="7"/>
        <v>1061032.953945969</v>
      </c>
      <c r="AO39" s="27">
        <f t="shared" si="8"/>
        <v>5.6548667764616275E-5</v>
      </c>
      <c r="AP39" s="29">
        <f t="shared" si="9"/>
        <v>10</v>
      </c>
      <c r="AQ39" s="29" t="e">
        <f t="shared" si="10"/>
        <v>#N/A</v>
      </c>
      <c r="AS39" s="26">
        <f t="shared" si="11"/>
        <v>16076256.87796923</v>
      </c>
      <c r="AT39" s="27">
        <f t="shared" si="12"/>
        <v>2.8274333882308137E-5</v>
      </c>
      <c r="AU39" s="29">
        <f t="shared" si="13"/>
        <v>5</v>
      </c>
      <c r="AV39" s="29" t="e">
        <f t="shared" si="14"/>
        <v>#N/A</v>
      </c>
      <c r="AX39" s="26">
        <f t="shared" si="15"/>
        <v>2821896.1541116196</v>
      </c>
      <c r="AY39" s="27">
        <f t="shared" si="16"/>
        <v>7.0685834705770344E-7</v>
      </c>
      <c r="AZ39" s="29">
        <f t="shared" si="17"/>
        <v>0.125</v>
      </c>
      <c r="BA39" s="29">
        <f t="shared" si="18"/>
        <v>2821896.1541109155</v>
      </c>
      <c r="BC39" s="30"/>
      <c r="BE39" s="11"/>
    </row>
    <row r="40" spans="2:61" x14ac:dyDescent="0.3">
      <c r="B40" s="2" t="s">
        <v>62</v>
      </c>
      <c r="C40" s="55">
        <v>12</v>
      </c>
      <c r="D40" s="4"/>
      <c r="H40" s="2" t="s">
        <v>74</v>
      </c>
      <c r="I40" s="4"/>
      <c r="Z40" s="22">
        <v>20</v>
      </c>
      <c r="AA40" s="4" cm="1">
        <f t="array" ref="AA40">_xlfn.IFS(AND($C$64="Yes",$C$78="Yes",$C$92="Yes",$C$50="Yes"),1/((1/AG40)+(1/AL40)+(1/AQ40)+(1/AV40)+(1/BA40)),AND($C$64="Yes",$C$78="Yes",$C$92="Yes",$C$50="No"),1/((1/AG40)+(1/AL40)+(1/AQ40)+(1/AV40)),AND($C$64="Yes",$C$78="Yes",$C$92="No",$C$50="No"),1/((1/AG40)+(1/AL40)+(1/AQ40)),AND($C$64="Yes",$C$78="No",$C$92="No",$C$50="No"),1/((1/AG40)+(1/AL40)),AND($C$64="No",$C$78="No",$C$92="No",$C$50="No"),1/((1/AG40)),AND($C$64="Yes",$C$78="No",$C$92="No",$C$50="Yes"),1/((1/AG40)+(1/AL40)+(1/BA40)), AND($C$64="No",$C$78="No",$C$92="No",$C$50="Yes"),1/((1/AG40)+(1/BA40)), AND($C$64="No",$C$78="Yes",$C$92="No",$C$50="Yes"),1/((1/AG40)+(1/AQ40)+(1/BA40)))</f>
        <v>1483.6135707583612</v>
      </c>
      <c r="AB40" s="28">
        <f t="shared" si="19"/>
        <v>0.79935871743486953</v>
      </c>
      <c r="AD40" s="26">
        <f t="shared" si="0"/>
        <v>1507.1490823096153</v>
      </c>
      <c r="AE40" s="27">
        <f t="shared" si="1"/>
        <v>2.6179938779914945E-5</v>
      </c>
      <c r="AF40" s="28">
        <f t="shared" si="2"/>
        <v>0.25</v>
      </c>
      <c r="AG40" s="29">
        <f t="shared" si="20"/>
        <v>1507.1490768641884</v>
      </c>
      <c r="AH40" s="11"/>
      <c r="AI40" s="26">
        <f t="shared" si="3"/>
        <v>99471.839432434586</v>
      </c>
      <c r="AJ40" s="27">
        <f t="shared" si="4"/>
        <v>9.4247779607693791E-7</v>
      </c>
      <c r="AK40" s="29">
        <f t="shared" si="5"/>
        <v>0.125</v>
      </c>
      <c r="AL40" s="29">
        <f t="shared" si="6"/>
        <v>99471.839431570639</v>
      </c>
      <c r="AN40" s="26">
        <f t="shared" si="7"/>
        <v>795774.71545947669</v>
      </c>
      <c r="AO40" s="27">
        <f t="shared" si="8"/>
        <v>7.5398223686155033E-5</v>
      </c>
      <c r="AP40" s="29">
        <f t="shared" si="9"/>
        <v>10</v>
      </c>
      <c r="AQ40" s="29" t="e">
        <f t="shared" si="10"/>
        <v>#N/A</v>
      </c>
      <c r="AS40" s="26">
        <f t="shared" si="11"/>
        <v>12057192.658476921</v>
      </c>
      <c r="AT40" s="27">
        <f t="shared" si="12"/>
        <v>3.7699111843077517E-5</v>
      </c>
      <c r="AU40" s="29">
        <f t="shared" si="13"/>
        <v>5</v>
      </c>
      <c r="AV40" s="29" t="e">
        <f t="shared" si="14"/>
        <v>#N/A</v>
      </c>
      <c r="AX40" s="26">
        <f t="shared" si="15"/>
        <v>2116422.115583715</v>
      </c>
      <c r="AY40" s="27">
        <f t="shared" si="16"/>
        <v>9.4247779607693791E-7</v>
      </c>
      <c r="AZ40" s="29">
        <f t="shared" si="17"/>
        <v>0.125</v>
      </c>
      <c r="BA40" s="29">
        <f t="shared" si="18"/>
        <v>2116422.1155827763</v>
      </c>
      <c r="BC40" s="30"/>
      <c r="BE40" s="11"/>
    </row>
    <row r="41" spans="2:61" x14ac:dyDescent="0.3">
      <c r="B41" s="2" t="s">
        <v>63</v>
      </c>
      <c r="C41" s="43">
        <f>$C$32*C40</f>
        <v>24</v>
      </c>
      <c r="D41" s="4"/>
      <c r="H41" s="2" t="s">
        <v>70</v>
      </c>
      <c r="I41" s="23"/>
      <c r="Z41" s="22">
        <v>25</v>
      </c>
      <c r="AA41" s="4" cm="1">
        <f t="array" ref="AA41">_xlfn.IFS(AND($C$64="Yes",$C$78="Yes",$C$92="Yes",$C$50="Yes"),1/((1/AG41)+(1/AL41)+(1/AQ41)+(1/AV41)+(1/BA41)),AND($C$64="Yes",$C$78="Yes",$C$92="Yes",$C$50="No"),1/((1/AG41)+(1/AL41)+(1/AQ41)+(1/AV41)),AND($C$64="Yes",$C$78="Yes",$C$92="No",$C$50="No"),1/((1/AG41)+(1/AL41)+(1/AQ41)),AND($C$64="Yes",$C$78="No",$C$92="No",$C$50="No"),1/((1/AG41)+(1/AL41)),AND($C$64="No",$C$78="No",$C$92="No",$C$50="No"),1/((1/AG41)),AND($C$64="Yes",$C$78="No",$C$92="No",$C$50="Yes"),1/((1/AG41)+(1/AL41)+(1/BA41)), AND($C$64="No",$C$78="No",$C$92="No",$C$50="Yes"),1/((1/AG41)+(1/BA41)), AND($C$64="No",$C$78="Yes",$C$92="No",$C$50="Yes"),1/((1/AG41)+(1/AQ41)+(1/BA41)))</f>
        <v>1186.8908542320939</v>
      </c>
      <c r="AB41" s="28">
        <f t="shared" si="19"/>
        <v>0.79935871743486953</v>
      </c>
      <c r="AD41" s="26">
        <f t="shared" si="0"/>
        <v>1205.719265847692</v>
      </c>
      <c r="AE41" s="27">
        <f t="shared" si="1"/>
        <v>3.2724923474893683E-5</v>
      </c>
      <c r="AF41" s="28">
        <f t="shared" si="2"/>
        <v>0.25</v>
      </c>
      <c r="AG41" s="29">
        <f t="shared" si="20"/>
        <v>1205.7192590409081</v>
      </c>
      <c r="AH41" s="11"/>
      <c r="AI41" s="26">
        <f t="shared" si="3"/>
        <v>79577.471545947672</v>
      </c>
      <c r="AJ41" s="27">
        <f t="shared" si="4"/>
        <v>1.1780972450961724E-6</v>
      </c>
      <c r="AK41" s="29">
        <f t="shared" si="5"/>
        <v>0.125</v>
      </c>
      <c r="AL41" s="29">
        <f t="shared" si="6"/>
        <v>79577.471544867745</v>
      </c>
      <c r="AN41" s="26">
        <f t="shared" si="7"/>
        <v>636619.77236758138</v>
      </c>
      <c r="AO41" s="27">
        <f t="shared" si="8"/>
        <v>9.4247779607693798E-5</v>
      </c>
      <c r="AP41" s="29">
        <f t="shared" si="9"/>
        <v>10</v>
      </c>
      <c r="AQ41" s="29" t="e">
        <f t="shared" si="10"/>
        <v>#N/A</v>
      </c>
      <c r="AS41" s="26">
        <f t="shared" si="11"/>
        <v>9645754.1267815363</v>
      </c>
      <c r="AT41" s="27">
        <f t="shared" si="12"/>
        <v>4.7123889803846899E-5</v>
      </c>
      <c r="AU41" s="29">
        <f t="shared" si="13"/>
        <v>5</v>
      </c>
      <c r="AV41" s="29" t="e">
        <f t="shared" si="14"/>
        <v>#N/A</v>
      </c>
      <c r="AX41" s="26">
        <f t="shared" si="15"/>
        <v>1693137.6924669717</v>
      </c>
      <c r="AY41" s="27">
        <f t="shared" si="16"/>
        <v>1.1780972450961724E-6</v>
      </c>
      <c r="AZ41" s="29">
        <f t="shared" si="17"/>
        <v>0.125</v>
      </c>
      <c r="BA41" s="29">
        <f t="shared" si="18"/>
        <v>1693137.6924657982</v>
      </c>
      <c r="BC41" s="30"/>
      <c r="BE41" s="11"/>
    </row>
    <row r="42" spans="2:61" ht="15.6" x14ac:dyDescent="0.35">
      <c r="B42" s="2" t="s">
        <v>168</v>
      </c>
      <c r="C42" s="53">
        <f>C41*C37</f>
        <v>5280</v>
      </c>
      <c r="D42" s="10" t="s">
        <v>8</v>
      </c>
      <c r="H42" s="2" t="s">
        <v>71</v>
      </c>
      <c r="I42" s="23"/>
      <c r="Z42" s="22">
        <v>30</v>
      </c>
      <c r="AA42" s="4" cm="1">
        <f t="array" ref="AA42">_xlfn.IFS(AND($C$64="Yes",$C$78="Yes",$C$92="Yes",$C$50="Yes"),1/((1/AG42)+(1/AL42)+(1/AQ42)+(1/AV42)+(1/BA42)),AND($C$64="Yes",$C$78="Yes",$C$92="Yes",$C$50="No"),1/((1/AG42)+(1/AL42)+(1/AQ42)+(1/AV42)),AND($C$64="Yes",$C$78="Yes",$C$92="No",$C$50="No"),1/((1/AG42)+(1/AL42)+(1/AQ42)),AND($C$64="Yes",$C$78="No",$C$92="No",$C$50="No"),1/((1/AG42)+(1/AL42)),AND($C$64="No",$C$78="No",$C$92="No",$C$50="No"),1/((1/AG42)),AND($C$64="Yes",$C$78="No",$C$92="No",$C$50="Yes"),1/((1/AG42)+(1/AL42)+(1/BA42)), AND($C$64="No",$C$78="No",$C$92="No",$C$50="Yes"),1/((1/AG42)+(1/BA42)), AND($C$64="No",$C$78="Yes",$C$92="No",$C$50="Yes"),1/((1/AG42)+(1/AQ42)+(1/BA42)))</f>
        <v>989.07570944151041</v>
      </c>
      <c r="AB42" s="28">
        <f t="shared" si="19"/>
        <v>0.79935871743486953</v>
      </c>
      <c r="AD42" s="26">
        <f t="shared" si="0"/>
        <v>1004.7660548730769</v>
      </c>
      <c r="AE42" s="27">
        <f t="shared" si="1"/>
        <v>3.9269908169872407E-5</v>
      </c>
      <c r="AF42" s="28">
        <f t="shared" si="2"/>
        <v>0.25</v>
      </c>
      <c r="AG42" s="29">
        <f t="shared" si="20"/>
        <v>1004.7660467049368</v>
      </c>
      <c r="AH42" s="11"/>
      <c r="AI42" s="26">
        <f t="shared" si="3"/>
        <v>66314.559621623062</v>
      </c>
      <c r="AJ42" s="27">
        <f t="shared" si="4"/>
        <v>1.4137166941154069E-6</v>
      </c>
      <c r="AK42" s="29">
        <f t="shared" si="5"/>
        <v>0.125</v>
      </c>
      <c r="AL42" s="29">
        <f t="shared" si="6"/>
        <v>66314.559620327156</v>
      </c>
      <c r="AN42" s="26">
        <f t="shared" si="7"/>
        <v>530516.4769729845</v>
      </c>
      <c r="AO42" s="27">
        <f t="shared" si="8"/>
        <v>1.1309733552923255E-4</v>
      </c>
      <c r="AP42" s="29">
        <f t="shared" si="9"/>
        <v>10</v>
      </c>
      <c r="AQ42" s="29" t="e">
        <f t="shared" si="10"/>
        <v>#N/A</v>
      </c>
      <c r="AS42" s="26">
        <f t="shared" si="11"/>
        <v>8038128.4389846148</v>
      </c>
      <c r="AT42" s="27">
        <f t="shared" si="12"/>
        <v>5.6548667764616275E-5</v>
      </c>
      <c r="AU42" s="29">
        <f t="shared" si="13"/>
        <v>5</v>
      </c>
      <c r="AV42" s="29" t="e">
        <f t="shared" si="14"/>
        <v>#N/A</v>
      </c>
      <c r="AX42" s="26">
        <f t="shared" si="15"/>
        <v>1410948.0770558098</v>
      </c>
      <c r="AY42" s="27">
        <f t="shared" si="16"/>
        <v>1.4137166941154069E-6</v>
      </c>
      <c r="AZ42" s="29">
        <f t="shared" si="17"/>
        <v>0.125</v>
      </c>
      <c r="BA42" s="29">
        <f t="shared" si="18"/>
        <v>1410948.0770544016</v>
      </c>
      <c r="BC42" s="30"/>
      <c r="BE42" s="11"/>
    </row>
    <row r="43" spans="2:61" x14ac:dyDescent="0.3">
      <c r="B43" s="2" t="s">
        <v>39</v>
      </c>
      <c r="C43" s="43">
        <f>C38/$C$41</f>
        <v>0.25</v>
      </c>
      <c r="D43" s="4" t="s">
        <v>21</v>
      </c>
      <c r="Z43" s="22">
        <v>35</v>
      </c>
      <c r="AA43" s="4" cm="1">
        <f t="array" ref="AA43">_xlfn.IFS(AND($C$64="Yes",$C$78="Yes",$C$92="Yes",$C$50="Yes"),1/((1/AG43)+(1/AL43)+(1/AQ43)+(1/AV43)+(1/BA43)),AND($C$64="Yes",$C$78="Yes",$C$92="Yes",$C$50="No"),1/((1/AG43)+(1/AL43)+(1/AQ43)+(1/AV43)),AND($C$64="Yes",$C$78="Yes",$C$92="No",$C$50="No"),1/((1/AG43)+(1/AL43)+(1/AQ43)),AND($C$64="Yes",$C$78="No",$C$92="No",$C$50="No"),1/((1/AG43)+(1/AL43)),AND($C$64="No",$C$78="No",$C$92="No",$C$50="No"),1/((1/AG43)),AND($C$64="Yes",$C$78="No",$C$92="No",$C$50="Yes"),1/((1/AG43)+(1/AL43)+(1/BA43)), AND($C$64="No",$C$78="No",$C$92="No",$C$50="Yes"),1/((1/AG43)+(1/BA43)), AND($C$64="No",$C$78="Yes",$C$92="No",$C$50="Yes"),1/((1/AG43)+(1/AQ43)+(1/BA43)))</f>
        <v>847.7791770713161</v>
      </c>
      <c r="AB43" s="28">
        <f t="shared" si="19"/>
        <v>0.79935871743486953</v>
      </c>
      <c r="AD43" s="26">
        <f t="shared" si="0"/>
        <v>861.22804703406564</v>
      </c>
      <c r="AE43" s="27">
        <f t="shared" si="1"/>
        <v>4.5814892864851145E-5</v>
      </c>
      <c r="AF43" s="28">
        <f t="shared" si="2"/>
        <v>0.25</v>
      </c>
      <c r="AG43" s="29">
        <f>SQRT(AF43^(2)+ABS(AD43-AE43)^(2))</f>
        <v>861.2280375045691</v>
      </c>
      <c r="AH43" s="11"/>
      <c r="AI43" s="26">
        <f t="shared" si="3"/>
        <v>56841.051104248349</v>
      </c>
      <c r="AJ43" s="27">
        <f t="shared" si="4"/>
        <v>1.6493361431346411E-6</v>
      </c>
      <c r="AK43" s="29">
        <f t="shared" si="5"/>
        <v>0.125</v>
      </c>
      <c r="AL43" s="29">
        <f t="shared" si="6"/>
        <v>56841.051102736456</v>
      </c>
      <c r="AN43" s="26">
        <f t="shared" si="7"/>
        <v>454728.40883398679</v>
      </c>
      <c r="AO43" s="27">
        <f t="shared" si="8"/>
        <v>1.319468914507713E-4</v>
      </c>
      <c r="AP43" s="29">
        <f t="shared" si="9"/>
        <v>10</v>
      </c>
      <c r="AQ43" s="29" t="e">
        <f t="shared" si="10"/>
        <v>#N/A</v>
      </c>
      <c r="AS43" s="26">
        <f t="shared" si="11"/>
        <v>6889824.3762725256</v>
      </c>
      <c r="AT43" s="27">
        <f t="shared" si="12"/>
        <v>6.5973445725385651E-5</v>
      </c>
      <c r="AU43" s="29">
        <f t="shared" si="13"/>
        <v>5</v>
      </c>
      <c r="AV43" s="29" t="e">
        <f t="shared" si="14"/>
        <v>#N/A</v>
      </c>
      <c r="AX43" s="26">
        <f t="shared" si="15"/>
        <v>1209384.0660478373</v>
      </c>
      <c r="AY43" s="27">
        <f t="shared" si="16"/>
        <v>1.6493361431346411E-6</v>
      </c>
      <c r="AZ43" s="29">
        <f t="shared" si="17"/>
        <v>0.125</v>
      </c>
      <c r="BA43" s="29">
        <f t="shared" si="18"/>
        <v>1209384.0660461944</v>
      </c>
      <c r="BB43" s="11"/>
    </row>
    <row r="44" spans="2:61" x14ac:dyDescent="0.3">
      <c r="B44" s="2" t="s">
        <v>189</v>
      </c>
      <c r="C44" s="47">
        <f>C39/$C$41</f>
        <v>0.20833333333333334</v>
      </c>
      <c r="D44" s="4" t="s">
        <v>5</v>
      </c>
      <c r="Z44" s="22">
        <v>40</v>
      </c>
      <c r="AA44" s="4" cm="1">
        <f t="array" ref="AA44">_xlfn.IFS(AND($C$64="Yes",$C$78="Yes",$C$92="Yes",$C$50="Yes"),1/((1/AG44)+(1/AL44)+(1/AQ44)+(1/AV44)+(1/BA44)),AND($C$64="Yes",$C$78="Yes",$C$92="Yes",$C$50="No"),1/((1/AG44)+(1/AL44)+(1/AQ44)+(1/AV44)),AND($C$64="Yes",$C$78="Yes",$C$92="No",$C$50="No"),1/((1/AG44)+(1/AL44)+(1/AQ44)),AND($C$64="Yes",$C$78="No",$C$92="No",$C$50="No"),1/((1/AG44)+(1/AL44)),AND($C$64="No",$C$78="No",$C$92="No",$C$50="No"),1/((1/AG44)),AND($C$64="Yes",$C$78="No",$C$92="No",$C$50="Yes"),1/((1/AG44)+(1/AL44)+(1/BA44)), AND($C$64="No",$C$78="No",$C$92="No",$C$50="Yes"),1/((1/AG44)+(1/BA44)), AND($C$64="No",$C$78="Yes",$C$92="No",$C$50="Yes"),1/((1/AG44)+(1/AQ44)+(1/BA44)))</f>
        <v>741.8067774638663</v>
      </c>
      <c r="AB44" s="28">
        <f t="shared" si="19"/>
        <v>0.79935871743486953</v>
      </c>
      <c r="AD44" s="26">
        <f t="shared" si="0"/>
        <v>753.57454115480766</v>
      </c>
      <c r="AE44" s="27">
        <f t="shared" si="1"/>
        <v>5.2359877559829889E-5</v>
      </c>
      <c r="AF44" s="28">
        <f t="shared" si="2"/>
        <v>0.25</v>
      </c>
      <c r="AG44" s="29">
        <f>SQRT(AF44^(2)+ABS(AD44-AE44)^(2))</f>
        <v>753.57453026395478</v>
      </c>
      <c r="AH44" s="11"/>
      <c r="AI44" s="26">
        <f t="shared" si="3"/>
        <v>49735.919716217293</v>
      </c>
      <c r="AJ44" s="27">
        <f t="shared" si="4"/>
        <v>1.8849555921538758E-6</v>
      </c>
      <c r="AK44" s="29">
        <f t="shared" si="5"/>
        <v>0.125</v>
      </c>
      <c r="AL44" s="29">
        <f t="shared" si="6"/>
        <v>49735.919714489421</v>
      </c>
      <c r="AN44" s="26">
        <f t="shared" si="7"/>
        <v>397887.35772973835</v>
      </c>
      <c r="AO44" s="27">
        <f t="shared" si="8"/>
        <v>1.5079644737231007E-4</v>
      </c>
      <c r="AP44" s="29">
        <f t="shared" si="9"/>
        <v>10</v>
      </c>
      <c r="AQ44" s="29" t="e">
        <f t="shared" si="10"/>
        <v>#N/A</v>
      </c>
      <c r="AS44" s="26">
        <f t="shared" si="11"/>
        <v>6028596.3292384604</v>
      </c>
      <c r="AT44" s="27">
        <f t="shared" si="12"/>
        <v>7.5398223686155033E-5</v>
      </c>
      <c r="AU44" s="29">
        <f t="shared" si="13"/>
        <v>5</v>
      </c>
      <c r="AV44" s="29" t="e">
        <f t="shared" si="14"/>
        <v>#N/A</v>
      </c>
      <c r="AX44" s="26">
        <f t="shared" si="15"/>
        <v>1058211.0577918575</v>
      </c>
      <c r="AY44" s="27">
        <f t="shared" si="16"/>
        <v>1.8849555921538758E-6</v>
      </c>
      <c r="AZ44" s="29">
        <f t="shared" si="17"/>
        <v>0.125</v>
      </c>
      <c r="BA44" s="29">
        <f t="shared" si="18"/>
        <v>1058211.05778998</v>
      </c>
      <c r="BB44" s="11"/>
    </row>
    <row r="45" spans="2:61" x14ac:dyDescent="0.3">
      <c r="B45" s="2" t="s">
        <v>190</v>
      </c>
      <c r="C45" s="47">
        <f>(1/(2*PI()*(SQRT($C$37*0.000001*$C$39*0.000000001))))*0.000001</f>
        <v>0.15174828413163344</v>
      </c>
      <c r="D45" s="4" t="s">
        <v>87</v>
      </c>
      <c r="Z45" s="22">
        <v>45</v>
      </c>
      <c r="AA45" s="4" cm="1">
        <f t="array" ref="AA45">_xlfn.IFS(AND($C$64="Yes",$C$78="Yes",$C$92="Yes",$C$50="Yes"),1/((1/AG45)+(1/AL45)+(1/AQ45)+(1/AV45)+(1/BA45)),AND($C$64="Yes",$C$78="Yes",$C$92="Yes",$C$50="No"),1/((1/AG45)+(1/AL45)+(1/AQ45)+(1/AV45)),AND($C$64="Yes",$C$78="Yes",$C$92="No",$C$50="No"),1/((1/AG45)+(1/AL45)+(1/AQ45)),AND($C$64="Yes",$C$78="No",$C$92="No",$C$50="No"),1/((1/AG45)+(1/AL45)),AND($C$64="No",$C$78="No",$C$92="No",$C$50="No"),1/((1/AG45)),AND($C$64="Yes",$C$78="No",$C$92="No",$C$50="Yes"),1/((1/AG45)+(1/AL45)+(1/BA45)), AND($C$64="No",$C$78="No",$C$92="No",$C$50="Yes"),1/((1/AG45)+(1/BA45)), AND($C$64="No",$C$78="Yes",$C$92="No",$C$50="Yes"),1/((1/AG45)+(1/AQ45)+(1/BA45)))</f>
        <v>659.38379969824541</v>
      </c>
      <c r="AB45" s="28">
        <f t="shared" si="19"/>
        <v>0.79935871743486953</v>
      </c>
      <c r="AD45" s="26">
        <f t="shared" si="0"/>
        <v>669.84403658205099</v>
      </c>
      <c r="AE45" s="27">
        <f t="shared" si="1"/>
        <v>5.8904862254808627E-5</v>
      </c>
      <c r="AF45" s="28">
        <f t="shared" si="2"/>
        <v>0.25</v>
      </c>
      <c r="AG45" s="29">
        <f>SQRT(AF45^(2)+ABS(AD45-AE45)^(2))</f>
        <v>669.84402432984211</v>
      </c>
      <c r="AH45" s="11"/>
      <c r="AI45" s="26">
        <f t="shared" si="3"/>
        <v>44209.706414415377</v>
      </c>
      <c r="AJ45" s="27">
        <f t="shared" si="4"/>
        <v>2.1205750411731103E-6</v>
      </c>
      <c r="AK45" s="29">
        <f t="shared" si="5"/>
        <v>0.125</v>
      </c>
      <c r="AL45" s="29">
        <f t="shared" si="6"/>
        <v>44209.706412471511</v>
      </c>
      <c r="AN45" s="26">
        <f t="shared" si="7"/>
        <v>353677.65131532302</v>
      </c>
      <c r="AO45" s="27">
        <f t="shared" si="8"/>
        <v>1.6964600329384883E-4</v>
      </c>
      <c r="AP45" s="29">
        <f t="shared" si="9"/>
        <v>10</v>
      </c>
      <c r="AQ45" s="29" t="e">
        <f t="shared" si="10"/>
        <v>#N/A</v>
      </c>
      <c r="AS45" s="26">
        <f t="shared" si="11"/>
        <v>5358752.2926564086</v>
      </c>
      <c r="AT45" s="27">
        <f t="shared" si="12"/>
        <v>8.4823001646924416E-5</v>
      </c>
      <c r="AU45" s="29">
        <f t="shared" si="13"/>
        <v>5</v>
      </c>
      <c r="AV45" s="29" t="e">
        <f t="shared" si="14"/>
        <v>#N/A</v>
      </c>
      <c r="AX45" s="26">
        <f t="shared" si="15"/>
        <v>940632.05137053994</v>
      </c>
      <c r="AY45" s="27">
        <f t="shared" si="16"/>
        <v>2.1205750411731103E-6</v>
      </c>
      <c r="AZ45" s="29">
        <f t="shared" si="17"/>
        <v>0.125</v>
      </c>
      <c r="BA45" s="29">
        <f t="shared" si="18"/>
        <v>940632.0513684277</v>
      </c>
      <c r="BB45" s="11"/>
    </row>
    <row r="46" spans="2:61" x14ac:dyDescent="0.3">
      <c r="B46" s="2" t="s">
        <v>434</v>
      </c>
      <c r="C46" s="47">
        <f>1000/(2*PI()*$C$33*1000*C42*0.000001)</f>
        <v>6.0285963292384608E-2</v>
      </c>
      <c r="D46" s="4" t="s">
        <v>425</v>
      </c>
      <c r="Z46" s="22">
        <v>50</v>
      </c>
      <c r="AA46" s="4" cm="1">
        <f t="array" ref="AA46">_xlfn.IFS(AND($C$64="Yes",$C$78="Yes",$C$92="Yes",$C$50="Yes"),1/((1/AG46)+(1/AL46)+(1/AQ46)+(1/AV46)+(1/BA46)),AND($C$64="Yes",$C$78="Yes",$C$92="Yes",$C$50="No"),1/((1/AG46)+(1/AL46)+(1/AQ46)+(1/AV46)),AND($C$64="Yes",$C$78="Yes",$C$92="No",$C$50="No"),1/((1/AG46)+(1/AL46)+(1/AQ46)),AND($C$64="Yes",$C$78="No",$C$92="No",$C$50="No"),1/((1/AG46)+(1/AL46)),AND($C$64="No",$C$78="No",$C$92="No",$C$50="No"),1/((1/AG46)),AND($C$64="Yes",$C$78="No",$C$92="No",$C$50="Yes"),1/((1/AG46)+(1/AL46)+(1/BA46)), AND($C$64="No",$C$78="No",$C$92="No",$C$50="Yes"),1/((1/AG46)+(1/BA46)), AND($C$64="No",$C$78="Yes",$C$92="No",$C$50="Yes"),1/((1/AG46)+(1/AQ46)+(1/BA46)))</f>
        <v>593.44541722190547</v>
      </c>
      <c r="AB46" s="28">
        <f t="shared" si="19"/>
        <v>0.79935871743486953</v>
      </c>
      <c r="AD46" s="26">
        <f t="shared" si="0"/>
        <v>602.85963292384599</v>
      </c>
      <c r="AE46" s="27">
        <f t="shared" si="1"/>
        <v>6.5449846949787365E-5</v>
      </c>
      <c r="AF46" s="28">
        <f t="shared" si="2"/>
        <v>0.25</v>
      </c>
      <c r="AG46" s="29">
        <f>SQRT(AF46^(2)+ABS(AD46-AE46)^(2))</f>
        <v>602.85961931028123</v>
      </c>
      <c r="AH46" s="11"/>
      <c r="AI46" s="26">
        <f t="shared" si="3"/>
        <v>39788.735772973836</v>
      </c>
      <c r="AJ46" s="27">
        <f t="shared" si="4"/>
        <v>2.3561944901923448E-6</v>
      </c>
      <c r="AK46" s="29">
        <f t="shared" si="5"/>
        <v>0.125</v>
      </c>
      <c r="AL46" s="29">
        <f t="shared" si="6"/>
        <v>39788.73577081399</v>
      </c>
      <c r="AN46" s="26">
        <f t="shared" si="7"/>
        <v>318309.88618379069</v>
      </c>
      <c r="AO46" s="27">
        <f t="shared" si="8"/>
        <v>1.884955592153876E-4</v>
      </c>
      <c r="AP46" s="29">
        <f t="shared" si="9"/>
        <v>10</v>
      </c>
      <c r="AQ46" s="29" t="e">
        <f t="shared" si="10"/>
        <v>#N/A</v>
      </c>
      <c r="AS46" s="26">
        <f t="shared" si="11"/>
        <v>4822877.0633907681</v>
      </c>
      <c r="AT46" s="27">
        <f t="shared" si="12"/>
        <v>9.4247779607693798E-5</v>
      </c>
      <c r="AU46" s="29">
        <f t="shared" si="13"/>
        <v>5</v>
      </c>
      <c r="AV46" s="29" t="e">
        <f t="shared" si="14"/>
        <v>#N/A</v>
      </c>
      <c r="AX46" s="26">
        <f t="shared" si="15"/>
        <v>846568.84623348585</v>
      </c>
      <c r="AY46" s="27">
        <f t="shared" si="16"/>
        <v>2.3561944901923448E-6</v>
      </c>
      <c r="AZ46" s="29">
        <f t="shared" si="17"/>
        <v>0.125</v>
      </c>
      <c r="BA46" s="29">
        <f t="shared" si="18"/>
        <v>846568.8462311388</v>
      </c>
      <c r="BB46" s="11"/>
    </row>
    <row r="47" spans="2:61" x14ac:dyDescent="0.3">
      <c r="B47" s="2" t="s">
        <v>435</v>
      </c>
      <c r="C47" s="47">
        <f>2*PI()*C44*0.000000001*$C$33*1000*1000</f>
        <v>0.65449846949787371</v>
      </c>
      <c r="D47" s="4" t="s">
        <v>425</v>
      </c>
      <c r="Z47" s="22">
        <v>55</v>
      </c>
      <c r="AA47" s="4" cm="1">
        <f t="array" ref="AA47">_xlfn.IFS(AND($C$64="Yes",$C$78="Yes",$C$92="Yes",$C$50="Yes"),1/((1/AG47)+(1/AL47)+(1/AQ47)+(1/AV47)+(1/BA47)),AND($C$64="Yes",$C$78="Yes",$C$92="Yes",$C$50="No"),1/((1/AG47)+(1/AL47)+(1/AQ47)+(1/AV47)),AND($C$64="Yes",$C$78="Yes",$C$92="No",$C$50="No"),1/((1/AG47)+(1/AL47)+(1/AQ47)),AND($C$64="Yes",$C$78="No",$C$92="No",$C$50="No"),1/((1/AG47)+(1/AL47)),AND($C$64="No",$C$78="No",$C$92="No",$C$50="No"),1/((1/AG47)),AND($C$64="Yes",$C$78="No",$C$92="No",$C$50="Yes"),1/((1/AG47)+(1/AL47)+(1/BA47)), AND($C$64="No",$C$78="No",$C$92="No",$C$50="Yes"),1/((1/AG47)+(1/BA47)), AND($C$64="No",$C$78="Yes",$C$92="No",$C$50="Yes"),1/((1/AG47)+(1/AQ47)+(1/BA47)))</f>
        <v>539.49583131958775</v>
      </c>
      <c r="AB47" s="28">
        <f t="shared" si="19"/>
        <v>0.79935871743486953</v>
      </c>
      <c r="AD47" s="26">
        <f t="shared" si="0"/>
        <v>548.05421174895093</v>
      </c>
      <c r="AE47" s="27">
        <f t="shared" si="1"/>
        <v>7.1994831644766103E-5</v>
      </c>
      <c r="AF47" s="28">
        <f t="shared" si="2"/>
        <v>0.25</v>
      </c>
      <c r="AG47" s="29">
        <f t="shared" si="20"/>
        <v>548.05419677403052</v>
      </c>
      <c r="AH47" s="11"/>
      <c r="AI47" s="26">
        <f t="shared" si="3"/>
        <v>36171.577975430759</v>
      </c>
      <c r="AJ47" s="27">
        <f t="shared" si="4"/>
        <v>2.5918139392115797E-6</v>
      </c>
      <c r="AK47" s="29">
        <f t="shared" si="5"/>
        <v>0.125</v>
      </c>
      <c r="AL47" s="29">
        <f t="shared" si="6"/>
        <v>36171.577973054933</v>
      </c>
      <c r="AN47" s="26">
        <f t="shared" si="7"/>
        <v>289372.62380344607</v>
      </c>
      <c r="AO47" s="27">
        <f t="shared" si="8"/>
        <v>2.0734511513692633E-4</v>
      </c>
      <c r="AP47" s="29">
        <f t="shared" si="9"/>
        <v>10</v>
      </c>
      <c r="AQ47" s="29" t="e">
        <f t="shared" si="10"/>
        <v>#N/A</v>
      </c>
      <c r="AS47" s="26">
        <f t="shared" si="11"/>
        <v>4384433.6939916071</v>
      </c>
      <c r="AT47" s="27">
        <f t="shared" si="12"/>
        <v>1.0367255756846317E-4</v>
      </c>
      <c r="AU47" s="29">
        <f t="shared" si="13"/>
        <v>5</v>
      </c>
      <c r="AV47" s="29" t="e">
        <f t="shared" si="14"/>
        <v>#N/A</v>
      </c>
      <c r="AX47" s="26">
        <f t="shared" si="15"/>
        <v>769608.04203044181</v>
      </c>
      <c r="AY47" s="27">
        <f t="shared" si="16"/>
        <v>2.5918139392115797E-6</v>
      </c>
      <c r="AZ47" s="29">
        <f t="shared" si="17"/>
        <v>0.125</v>
      </c>
      <c r="BA47" s="29">
        <f t="shared" si="18"/>
        <v>769608.04202786006</v>
      </c>
      <c r="BC47" s="30"/>
      <c r="BE47" s="11"/>
    </row>
    <row r="48" spans="2:61" x14ac:dyDescent="0.3">
      <c r="B48" s="2" t="s">
        <v>436</v>
      </c>
      <c r="C48" s="47">
        <f>SQRT(C43^(2)+ABS(C46-C47)^(2))</f>
        <v>0.64466154106710016</v>
      </c>
      <c r="D48" s="4" t="s">
        <v>425</v>
      </c>
      <c r="Z48" s="22">
        <v>60</v>
      </c>
      <c r="AA48" s="4" cm="1">
        <f t="array" ref="AA48">_xlfn.IFS(AND($C$64="Yes",$C$78="Yes",$C$92="Yes",$C$50="Yes"),1/((1/AG48)+(1/AL48)+(1/AQ48)+(1/AV48)+(1/BA48)),AND($C$64="Yes",$C$78="Yes",$C$92="Yes",$C$50="No"),1/((1/AG48)+(1/AL48)+(1/AQ48)+(1/AV48)),AND($C$64="Yes",$C$78="Yes",$C$92="No",$C$50="No"),1/((1/AG48)+(1/AL48)+(1/AQ48)),AND($C$64="Yes",$C$78="No",$C$92="No",$C$50="No"),1/((1/AG48)+(1/AL48)),AND($C$64="No",$C$78="No",$C$92="No",$C$50="No"),1/((1/AG48)),AND($C$64="Yes",$C$78="No",$C$92="No",$C$50="Yes"),1/((1/AG48)+(1/AL48)+(1/BA48)), AND($C$64="No",$C$78="No",$C$92="No",$C$50="Yes"),1/((1/AG48)+(1/BA48)), AND($C$64="No",$C$78="Yes",$C$92="No",$C$50="Yes"),1/((1/AG48)+(1/AQ48)+(1/BA48)))</f>
        <v>494.53784284778692</v>
      </c>
      <c r="AB48" s="28">
        <f t="shared" si="19"/>
        <v>0.79935871743486953</v>
      </c>
      <c r="AD48" s="26">
        <f t="shared" si="0"/>
        <v>502.38302743653844</v>
      </c>
      <c r="AE48" s="27">
        <f t="shared" si="1"/>
        <v>7.8539816339744814E-5</v>
      </c>
      <c r="AF48" s="28">
        <f t="shared" si="2"/>
        <v>0.25</v>
      </c>
      <c r="AG48" s="29">
        <f t="shared" si="20"/>
        <v>502.38301110026254</v>
      </c>
      <c r="AH48" s="11"/>
      <c r="AI48" s="26">
        <f t="shared" si="3"/>
        <v>33157.279810811531</v>
      </c>
      <c r="AJ48" s="27">
        <f t="shared" si="4"/>
        <v>2.8274333882308137E-6</v>
      </c>
      <c r="AK48" s="29">
        <f t="shared" si="5"/>
        <v>0.125</v>
      </c>
      <c r="AL48" s="29">
        <f t="shared" si="6"/>
        <v>33157.279808219719</v>
      </c>
      <c r="AN48" s="26">
        <f t="shared" si="7"/>
        <v>265258.23848649225</v>
      </c>
      <c r="AO48" s="27">
        <f t="shared" si="8"/>
        <v>2.261946710584651E-4</v>
      </c>
      <c r="AP48" s="29">
        <f t="shared" si="9"/>
        <v>10</v>
      </c>
      <c r="AQ48" s="29" t="e">
        <f t="shared" si="10"/>
        <v>#N/A</v>
      </c>
      <c r="AS48" s="26">
        <f t="shared" si="11"/>
        <v>4019064.2194923074</v>
      </c>
      <c r="AT48" s="27">
        <f t="shared" si="12"/>
        <v>1.1309733552923255E-4</v>
      </c>
      <c r="AU48" s="29">
        <f t="shared" si="13"/>
        <v>5</v>
      </c>
      <c r="AV48" s="29" t="e">
        <f t="shared" si="14"/>
        <v>#N/A</v>
      </c>
      <c r="AX48" s="26">
        <f t="shared" si="15"/>
        <v>705474.03852790489</v>
      </c>
      <c r="AY48" s="27">
        <f t="shared" si="16"/>
        <v>2.8274333882308137E-6</v>
      </c>
      <c r="AZ48" s="29">
        <f t="shared" si="17"/>
        <v>0.125</v>
      </c>
      <c r="BA48" s="29">
        <f t="shared" si="18"/>
        <v>705474.03852508857</v>
      </c>
      <c r="BC48" s="30"/>
      <c r="BE48" s="11"/>
    </row>
    <row r="49" spans="2:57" x14ac:dyDescent="0.3">
      <c r="Z49" s="22">
        <v>65</v>
      </c>
      <c r="AA49" s="4" cm="1">
        <f t="array" ref="AA49">_xlfn.IFS(AND($C$64="Yes",$C$78="Yes",$C$92="Yes",$C$50="Yes"),1/((1/AG49)+(1/AL49)+(1/AQ49)+(1/AV49)+(1/BA49)),AND($C$64="Yes",$C$78="Yes",$C$92="Yes",$C$50="No"),1/((1/AG49)+(1/AL49)+(1/AQ49)+(1/AV49)),AND($C$64="Yes",$C$78="Yes",$C$92="No",$C$50="No"),1/((1/AG49)+(1/AL49)+(1/AQ49)),AND($C$64="Yes",$C$78="No",$C$92="No",$C$50="No"),1/((1/AG49)+(1/AL49)),AND($C$64="No",$C$78="No",$C$92="No",$C$50="No"),1/((1/AG49)),AND($C$64="Yes",$C$78="No",$C$92="No",$C$50="Yes"),1/((1/AG49)+(1/AL49)+(1/BA49)), AND($C$64="No",$C$78="No",$C$92="No",$C$50="Yes"),1/((1/AG49)+(1/BA49)), AND($C$64="No",$C$78="Yes",$C$92="No",$C$50="Yes"),1/((1/AG49)+(1/AQ49)+(1/BA49)))</f>
        <v>456.49646778407578</v>
      </c>
      <c r="AB49" s="28">
        <f t="shared" si="19"/>
        <v>0.79935871743486953</v>
      </c>
      <c r="AD49" s="26">
        <f t="shared" si="0"/>
        <v>463.73817917218935</v>
      </c>
      <c r="AE49" s="27">
        <f t="shared" si="1"/>
        <v>8.5084801034723565E-5</v>
      </c>
      <c r="AF49" s="28">
        <f t="shared" si="2"/>
        <v>0.25</v>
      </c>
      <c r="AG49" s="29">
        <f t="shared" si="20"/>
        <v>463.73816147455818</v>
      </c>
      <c r="AH49" s="11"/>
      <c r="AI49" s="26">
        <f t="shared" si="3"/>
        <v>30606.719825364493</v>
      </c>
      <c r="AJ49" s="27">
        <f t="shared" si="4"/>
        <v>3.0630528372500482E-6</v>
      </c>
      <c r="AK49" s="29">
        <f t="shared" si="5"/>
        <v>0.125</v>
      </c>
      <c r="AL49" s="29">
        <f t="shared" si="6"/>
        <v>30606.719822556694</v>
      </c>
      <c r="AN49" s="26">
        <f t="shared" si="7"/>
        <v>244853.75860291594</v>
      </c>
      <c r="AO49" s="27">
        <f t="shared" si="8"/>
        <v>2.4504422698000384E-4</v>
      </c>
      <c r="AP49" s="29">
        <f t="shared" si="9"/>
        <v>10</v>
      </c>
      <c r="AQ49" s="29" t="e">
        <f t="shared" si="10"/>
        <v>#N/A</v>
      </c>
      <c r="AS49" s="26">
        <f t="shared" si="11"/>
        <v>3709905.4333775137</v>
      </c>
      <c r="AT49" s="27">
        <f t="shared" si="12"/>
        <v>1.2252211349000192E-4</v>
      </c>
      <c r="AU49" s="29">
        <f t="shared" si="13"/>
        <v>5</v>
      </c>
      <c r="AV49" s="29" t="e">
        <f t="shared" si="14"/>
        <v>#N/A</v>
      </c>
      <c r="AX49" s="26">
        <f t="shared" si="15"/>
        <v>651206.80479498918</v>
      </c>
      <c r="AY49" s="27">
        <f t="shared" si="16"/>
        <v>3.0630528372500482E-6</v>
      </c>
      <c r="AZ49" s="29">
        <f t="shared" si="17"/>
        <v>0.125</v>
      </c>
      <c r="BA49" s="29">
        <f t="shared" si="18"/>
        <v>651206.80479193816</v>
      </c>
      <c r="BC49" s="30"/>
      <c r="BE49" s="11"/>
    </row>
    <row r="50" spans="2:57" ht="15.6" x14ac:dyDescent="0.35">
      <c r="B50" s="2" t="s">
        <v>48</v>
      </c>
      <c r="C50" s="55" t="s">
        <v>7</v>
      </c>
      <c r="Z50" s="22">
        <v>70</v>
      </c>
      <c r="AA50" s="4" cm="1">
        <f t="array" ref="AA50">_xlfn.IFS(AND($C$64="Yes",$C$78="Yes",$C$92="Yes",$C$50="Yes"),1/((1/AG50)+(1/AL50)+(1/AQ50)+(1/AV50)+(1/BA50)),AND($C$64="Yes",$C$78="Yes",$C$92="Yes",$C$50="No"),1/((1/AG50)+(1/AL50)+(1/AQ50)+(1/AV50)),AND($C$64="Yes",$C$78="Yes",$C$92="No",$C$50="No"),1/((1/AG50)+(1/AL50)+(1/AQ50)),AND($C$64="Yes",$C$78="No",$C$92="No",$C$50="No"),1/((1/AG50)+(1/AL50)),AND($C$64="No",$C$78="No",$C$92="No",$C$50="No"),1/((1/AG50)),AND($C$64="Yes",$C$78="No",$C$92="No",$C$50="Yes"),1/((1/AG50)+(1/AL50)+(1/BA50)), AND($C$64="No",$C$78="No",$C$92="No",$C$50="Yes"),1/((1/AG50)+(1/BA50)), AND($C$64="No",$C$78="Yes",$C$92="No",$C$50="Yes"),1/((1/AG50)+(1/AQ50)+(1/BA50)))</f>
        <v>423.88957468386388</v>
      </c>
      <c r="AB50" s="28">
        <f t="shared" si="19"/>
        <v>0.79935871743486953</v>
      </c>
      <c r="AD50" s="26">
        <f t="shared" si="0"/>
        <v>430.61402351703282</v>
      </c>
      <c r="AE50" s="27">
        <f t="shared" si="1"/>
        <v>9.1629785729702289E-5</v>
      </c>
      <c r="AF50" s="28">
        <f t="shared" si="2"/>
        <v>0.25</v>
      </c>
      <c r="AG50" s="29">
        <f t="shared" si="20"/>
        <v>430.61400445804674</v>
      </c>
      <c r="AH50" s="11"/>
      <c r="AI50" s="26">
        <f t="shared" si="3"/>
        <v>28420.525552124174</v>
      </c>
      <c r="AJ50" s="27">
        <f t="shared" si="4"/>
        <v>3.2986722862692823E-6</v>
      </c>
      <c r="AK50" s="29">
        <f t="shared" si="5"/>
        <v>0.125</v>
      </c>
      <c r="AL50" s="29">
        <f t="shared" si="6"/>
        <v>28420.525549100392</v>
      </c>
      <c r="AN50" s="26">
        <f t="shared" si="7"/>
        <v>227364.20441699339</v>
      </c>
      <c r="AO50" s="27">
        <f t="shared" si="8"/>
        <v>2.638937829015426E-4</v>
      </c>
      <c r="AP50" s="29">
        <f t="shared" si="9"/>
        <v>10</v>
      </c>
      <c r="AQ50" s="29" t="e">
        <f t="shared" si="10"/>
        <v>#N/A</v>
      </c>
      <c r="AS50" s="26">
        <f t="shared" si="11"/>
        <v>3444912.1881362628</v>
      </c>
      <c r="AT50" s="27">
        <f t="shared" si="12"/>
        <v>1.319468914507713E-4</v>
      </c>
      <c r="AU50" s="29">
        <f t="shared" si="13"/>
        <v>5</v>
      </c>
      <c r="AV50" s="29" t="e">
        <f t="shared" si="14"/>
        <v>#N/A</v>
      </c>
      <c r="AX50" s="26">
        <f t="shared" si="15"/>
        <v>604692.03302391863</v>
      </c>
      <c r="AY50" s="27">
        <f t="shared" si="16"/>
        <v>3.2986722862692823E-6</v>
      </c>
      <c r="AZ50" s="29">
        <f t="shared" si="17"/>
        <v>0.125</v>
      </c>
      <c r="BA50" s="29">
        <f t="shared" si="18"/>
        <v>604692.03302063292</v>
      </c>
      <c r="BC50" s="30"/>
      <c r="BE50" s="11"/>
    </row>
    <row r="51" spans="2:57" ht="15.6" x14ac:dyDescent="0.35">
      <c r="B51" s="2" t="s">
        <v>41</v>
      </c>
      <c r="C51" s="55">
        <v>4.7E-2</v>
      </c>
      <c r="D51" s="10" t="s">
        <v>8</v>
      </c>
      <c r="Z51" s="22">
        <v>75</v>
      </c>
      <c r="AA51" s="4" cm="1">
        <f t="array" ref="AA51">_xlfn.IFS(AND($C$64="Yes",$C$78="Yes",$C$92="Yes",$C$50="Yes"),1/((1/AG51)+(1/AL51)+(1/AQ51)+(1/AV51)+(1/BA51)),AND($C$64="Yes",$C$78="Yes",$C$92="Yes",$C$50="No"),1/((1/AG51)+(1/AL51)+(1/AQ51)+(1/AV51)),AND($C$64="Yes",$C$78="Yes",$C$92="No",$C$50="No"),1/((1/AG51)+(1/AL51)+(1/AQ51)),AND($C$64="Yes",$C$78="No",$C$92="No",$C$50="No"),1/((1/AG51)+(1/AL51)),AND($C$64="No",$C$78="No",$C$92="No",$C$50="No"),1/((1/AG51)),AND($C$64="Yes",$C$78="No",$C$92="No",$C$50="Yes"),1/((1/AG51)+(1/AL51)+(1/BA51)), AND($C$64="No",$C$78="No",$C$92="No",$C$50="Yes"),1/((1/AG51)+(1/BA51)), AND($C$64="No",$C$78="Yes",$C$92="No",$C$50="Yes"),1/((1/AG51)+(1/AQ51)+(1/BA51)))</f>
        <v>395.6302671544517</v>
      </c>
      <c r="AB51" s="28">
        <f t="shared" si="19"/>
        <v>0.79935871743486953</v>
      </c>
      <c r="AD51" s="26">
        <f t="shared" si="0"/>
        <v>401.90642194923072</v>
      </c>
      <c r="AE51" s="27">
        <f t="shared" si="1"/>
        <v>9.8174770424681041E-5</v>
      </c>
      <c r="AF51" s="28">
        <f t="shared" si="2"/>
        <v>0.25</v>
      </c>
      <c r="AG51" s="29">
        <f t="shared" si="20"/>
        <v>401.90640152888994</v>
      </c>
      <c r="AH51" s="11"/>
      <c r="AI51" s="26">
        <f t="shared" si="3"/>
        <v>26525.823848649223</v>
      </c>
      <c r="AJ51" s="27">
        <f t="shared" si="4"/>
        <v>3.5342917352885172E-6</v>
      </c>
      <c r="AK51" s="29">
        <f t="shared" si="5"/>
        <v>0.125</v>
      </c>
      <c r="AL51" s="29">
        <f t="shared" si="6"/>
        <v>26525.823845409453</v>
      </c>
      <c r="AN51" s="26">
        <f t="shared" si="7"/>
        <v>212206.59078919378</v>
      </c>
      <c r="AO51" s="27">
        <f t="shared" si="8"/>
        <v>2.8274333882308137E-4</v>
      </c>
      <c r="AP51" s="29">
        <f t="shared" si="9"/>
        <v>10</v>
      </c>
      <c r="AQ51" s="29" t="e">
        <f t="shared" si="10"/>
        <v>#N/A</v>
      </c>
      <c r="AS51" s="26">
        <f t="shared" si="11"/>
        <v>3215251.3755938453</v>
      </c>
      <c r="AT51" s="27">
        <f t="shared" si="12"/>
        <v>1.4137166941154068E-4</v>
      </c>
      <c r="AU51" s="29">
        <f t="shared" si="13"/>
        <v>5</v>
      </c>
      <c r="AV51" s="29" t="e">
        <f t="shared" si="14"/>
        <v>#N/A</v>
      </c>
      <c r="AX51" s="26">
        <f t="shared" si="15"/>
        <v>564379.23082232394</v>
      </c>
      <c r="AY51" s="27">
        <f t="shared" si="16"/>
        <v>3.5342917352885172E-6</v>
      </c>
      <c r="AZ51" s="29">
        <f t="shared" si="17"/>
        <v>0.125</v>
      </c>
      <c r="BA51" s="29">
        <f t="shared" si="18"/>
        <v>564379.23081880354</v>
      </c>
      <c r="BC51" s="30"/>
      <c r="BE51" s="11"/>
    </row>
    <row r="52" spans="2:57" x14ac:dyDescent="0.3">
      <c r="B52" s="2" t="s">
        <v>42</v>
      </c>
      <c r="C52" s="55">
        <v>10</v>
      </c>
      <c r="D52" s="4" t="s">
        <v>21</v>
      </c>
      <c r="Z52" s="22">
        <v>80</v>
      </c>
      <c r="AA52" s="4" cm="1">
        <f t="array" ref="AA52">_xlfn.IFS(AND($C$64="Yes",$C$78="Yes",$C$92="Yes",$C$50="Yes"),1/((1/AG52)+(1/AL52)+(1/AQ52)+(1/AV52)+(1/BA52)),AND($C$64="Yes",$C$78="Yes",$C$92="Yes",$C$50="No"),1/((1/AG52)+(1/AL52)+(1/AQ52)+(1/AV52)),AND($C$64="Yes",$C$78="Yes",$C$92="No",$C$50="No"),1/((1/AG52)+(1/AL52)+(1/AQ52)),AND($C$64="Yes",$C$78="No",$C$92="No",$C$50="No"),1/((1/AG52)+(1/AL52)),AND($C$64="No",$C$78="No",$C$92="No",$C$50="No"),1/((1/AG52)),AND($C$64="Yes",$C$78="No",$C$92="No",$C$50="Yes"),1/((1/AG52)+(1/AL52)+(1/BA52)), AND($C$64="No",$C$78="No",$C$92="No",$C$50="Yes"),1/((1/AG52)+(1/BA52)), AND($C$64="No",$C$78="Yes",$C$92="No",$C$50="Yes"),1/((1/AG52)+(1/AQ52)+(1/BA52)))</f>
        <v>370.90337290131419</v>
      </c>
      <c r="AB52" s="28">
        <f t="shared" si="19"/>
        <v>0.79935871743486953</v>
      </c>
      <c r="AD52" s="26">
        <f t="shared" si="0"/>
        <v>376.78727057740383</v>
      </c>
      <c r="AE52" s="27">
        <f t="shared" si="1"/>
        <v>1.0471975511965978E-4</v>
      </c>
      <c r="AF52" s="28">
        <f t="shared" si="2"/>
        <v>0.25</v>
      </c>
      <c r="AG52" s="29">
        <f t="shared" si="20"/>
        <v>376.78724879570865</v>
      </c>
      <c r="AH52" s="11"/>
      <c r="AI52" s="26">
        <f t="shared" si="3"/>
        <v>24867.959858108647</v>
      </c>
      <c r="AJ52" s="27">
        <f t="shared" si="4"/>
        <v>3.7699111843077517E-6</v>
      </c>
      <c r="AK52" s="29">
        <f t="shared" si="5"/>
        <v>0.125</v>
      </c>
      <c r="AL52" s="29">
        <f t="shared" si="6"/>
        <v>24867.959854652898</v>
      </c>
      <c r="AN52" s="26">
        <f t="shared" si="7"/>
        <v>198943.67886486917</v>
      </c>
      <c r="AO52" s="27">
        <f t="shared" si="8"/>
        <v>3.0159289474462013E-4</v>
      </c>
      <c r="AP52" s="29">
        <f t="shared" si="9"/>
        <v>10</v>
      </c>
      <c r="AQ52" s="29" t="e">
        <f t="shared" si="10"/>
        <v>#N/A</v>
      </c>
      <c r="AS52" s="26">
        <f t="shared" si="11"/>
        <v>3014298.1646192302</v>
      </c>
      <c r="AT52" s="27">
        <f t="shared" si="12"/>
        <v>1.5079644737231007E-4</v>
      </c>
      <c r="AU52" s="29">
        <f t="shared" si="13"/>
        <v>5</v>
      </c>
      <c r="AV52" s="29" t="e">
        <f t="shared" si="14"/>
        <v>#N/A</v>
      </c>
      <c r="AX52" s="26">
        <f t="shared" si="15"/>
        <v>529105.52889592876</v>
      </c>
      <c r="AY52" s="27">
        <f t="shared" si="16"/>
        <v>3.7699111843077517E-6</v>
      </c>
      <c r="AZ52" s="29">
        <f t="shared" si="17"/>
        <v>0.125</v>
      </c>
      <c r="BA52" s="29">
        <f t="shared" si="18"/>
        <v>529105.52889217366</v>
      </c>
      <c r="BC52" s="30"/>
      <c r="BE52" s="11"/>
    </row>
    <row r="53" spans="2:57" x14ac:dyDescent="0.3">
      <c r="B53" s="2" t="s">
        <v>43</v>
      </c>
      <c r="C53" s="55">
        <v>0.6</v>
      </c>
      <c r="D53" s="4" t="s">
        <v>5</v>
      </c>
      <c r="Z53" s="22">
        <v>85</v>
      </c>
      <c r="AA53" s="4" cm="1">
        <f t="array" ref="AA53">_xlfn.IFS(AND($C$64="Yes",$C$78="Yes",$C$92="Yes",$C$50="Yes"),1/((1/AG53)+(1/AL53)+(1/AQ53)+(1/AV53)+(1/BA53)),AND($C$64="Yes",$C$78="Yes",$C$92="Yes",$C$50="No"),1/((1/AG53)+(1/AL53)+(1/AQ53)+(1/AV53)),AND($C$64="Yes",$C$78="Yes",$C$92="No",$C$50="No"),1/((1/AG53)+(1/AL53)+(1/AQ53)),AND($C$64="Yes",$C$78="No",$C$92="No",$C$50="No"),1/((1/AG53)+(1/AL53)),AND($C$64="No",$C$78="No",$C$92="No",$C$50="No"),1/((1/AG53)),AND($C$64="Yes",$C$78="No",$C$92="No",$C$50="Yes"),1/((1/AG53)+(1/AL53)+(1/BA53)), AND($C$64="No",$C$78="No",$C$92="No",$C$50="Yes"),1/((1/AG53)+(1/BA53)), AND($C$64="No",$C$78="Yes",$C$92="No",$C$50="Yes"),1/((1/AG53)+(1/AQ53)+(1/BA53)))</f>
        <v>349.08552487569693</v>
      </c>
      <c r="AB53" s="28">
        <f t="shared" si="19"/>
        <v>0.79935871743486953</v>
      </c>
      <c r="AD53" s="26">
        <f t="shared" si="0"/>
        <v>354.62331348461527</v>
      </c>
      <c r="AE53" s="27">
        <f t="shared" si="1"/>
        <v>1.112647398146385E-4</v>
      </c>
      <c r="AF53" s="28">
        <f t="shared" si="2"/>
        <v>0.25</v>
      </c>
      <c r="AG53" s="29">
        <f t="shared" si="20"/>
        <v>354.62329034156608</v>
      </c>
      <c r="AH53" s="11"/>
      <c r="AI53" s="26">
        <f t="shared" si="3"/>
        <v>23405.138689984615</v>
      </c>
      <c r="AJ53" s="27">
        <f t="shared" si="4"/>
        <v>4.0055306333269866E-6</v>
      </c>
      <c r="AK53" s="29">
        <f t="shared" si="5"/>
        <v>0.125</v>
      </c>
      <c r="AL53" s="29">
        <f t="shared" si="6"/>
        <v>23405.138686312879</v>
      </c>
      <c r="AN53" s="26">
        <f t="shared" si="7"/>
        <v>187241.10951987692</v>
      </c>
      <c r="AO53" s="27">
        <f t="shared" si="8"/>
        <v>3.204424506661589E-4</v>
      </c>
      <c r="AP53" s="29">
        <f t="shared" si="9"/>
        <v>10</v>
      </c>
      <c r="AQ53" s="29" t="e">
        <f t="shared" si="10"/>
        <v>#N/A</v>
      </c>
      <c r="AS53" s="26">
        <f t="shared" si="11"/>
        <v>2836986.5078769219</v>
      </c>
      <c r="AT53" s="27">
        <f t="shared" si="12"/>
        <v>1.6022122533307945E-4</v>
      </c>
      <c r="AU53" s="29">
        <f t="shared" si="13"/>
        <v>5</v>
      </c>
      <c r="AV53" s="29" t="e">
        <f t="shared" si="14"/>
        <v>#N/A</v>
      </c>
      <c r="AX53" s="26">
        <f t="shared" si="15"/>
        <v>497981.67425499175</v>
      </c>
      <c r="AY53" s="27">
        <f t="shared" si="16"/>
        <v>4.0055306333269866E-6</v>
      </c>
      <c r="AZ53" s="29">
        <f t="shared" si="17"/>
        <v>0.125</v>
      </c>
      <c r="BA53" s="29">
        <f t="shared" si="18"/>
        <v>497981.67425100197</v>
      </c>
      <c r="BC53" s="30"/>
      <c r="BE53" s="11"/>
    </row>
    <row r="54" spans="2:57" x14ac:dyDescent="0.3">
      <c r="B54" s="2" t="s">
        <v>62</v>
      </c>
      <c r="C54" s="55">
        <v>40</v>
      </c>
      <c r="D54" s="4"/>
      <c r="Z54" s="22">
        <v>90</v>
      </c>
      <c r="AA54" s="4" cm="1">
        <f t="array" ref="AA54">_xlfn.IFS(AND($C$64="Yes",$C$78="Yes",$C$92="Yes",$C$50="Yes"),1/((1/AG54)+(1/AL54)+(1/AQ54)+(1/AV54)+(1/BA54)),AND($C$64="Yes",$C$78="Yes",$C$92="Yes",$C$50="No"),1/((1/AG54)+(1/AL54)+(1/AQ54)+(1/AV54)),AND($C$64="Yes",$C$78="Yes",$C$92="No",$C$50="No"),1/((1/AG54)+(1/AL54)+(1/AQ54)),AND($C$64="Yes",$C$78="No",$C$92="No",$C$50="No"),1/((1/AG54)+(1/AL54)),AND($C$64="No",$C$78="No",$C$92="No",$C$50="No"),1/((1/AG54)),AND($C$64="Yes",$C$78="No",$C$92="No",$C$50="Yes"),1/((1/AG54)+(1/AL54)+(1/BA54)), AND($C$64="No",$C$78="No",$C$92="No",$C$50="Yes"),1/((1/AG54)+(1/BA54)), AND($C$64="No",$C$78="Yes",$C$92="No",$C$50="Yes"),1/((1/AG54)+(1/AQ54)+(1/BA54)))</f>
        <v>329.69188203968014</v>
      </c>
      <c r="AB54" s="28">
        <f t="shared" si="19"/>
        <v>0.79935871743486953</v>
      </c>
      <c r="AD54" s="26">
        <f t="shared" si="0"/>
        <v>334.92201829102549</v>
      </c>
      <c r="AE54" s="27">
        <f t="shared" si="1"/>
        <v>1.1780972450961725E-4</v>
      </c>
      <c r="AF54" s="28">
        <f t="shared" si="2"/>
        <v>0.25</v>
      </c>
      <c r="AG54" s="29">
        <f t="shared" si="20"/>
        <v>334.92199378662264</v>
      </c>
      <c r="AH54" s="11"/>
      <c r="AI54" s="26">
        <f t="shared" si="3"/>
        <v>22104.853207207689</v>
      </c>
      <c r="AJ54" s="27">
        <f t="shared" si="4"/>
        <v>4.2411500823462206E-6</v>
      </c>
      <c r="AK54" s="29">
        <f t="shared" si="5"/>
        <v>0.125</v>
      </c>
      <c r="AL54" s="29">
        <f t="shared" si="6"/>
        <v>22104.85320331997</v>
      </c>
      <c r="AN54" s="26">
        <f t="shared" si="7"/>
        <v>176838.82565766151</v>
      </c>
      <c r="AO54" s="27">
        <f t="shared" si="8"/>
        <v>3.3929200658769766E-4</v>
      </c>
      <c r="AP54" s="29">
        <f t="shared" si="9"/>
        <v>10</v>
      </c>
      <c r="AQ54" s="29" t="e">
        <f t="shared" si="10"/>
        <v>#N/A</v>
      </c>
      <c r="AS54" s="26">
        <f t="shared" si="11"/>
        <v>2679376.1463282043</v>
      </c>
      <c r="AT54" s="27">
        <f t="shared" si="12"/>
        <v>1.6964600329384883E-4</v>
      </c>
      <c r="AU54" s="29">
        <f t="shared" si="13"/>
        <v>5</v>
      </c>
      <c r="AV54" s="29" t="e">
        <f t="shared" si="14"/>
        <v>#N/A</v>
      </c>
      <c r="AX54" s="26">
        <f t="shared" si="15"/>
        <v>470316.02568526997</v>
      </c>
      <c r="AY54" s="27">
        <f t="shared" si="16"/>
        <v>4.2411500823462206E-6</v>
      </c>
      <c r="AZ54" s="29">
        <f t="shared" si="17"/>
        <v>0.125</v>
      </c>
      <c r="BA54" s="29">
        <f t="shared" si="18"/>
        <v>470316.02568104549</v>
      </c>
      <c r="BC54" s="30"/>
      <c r="BE54" s="11"/>
    </row>
    <row r="55" spans="2:57" x14ac:dyDescent="0.3">
      <c r="B55" s="2" t="s">
        <v>63</v>
      </c>
      <c r="C55" s="43">
        <f>C54*$C$32</f>
        <v>80</v>
      </c>
      <c r="D55" s="4"/>
      <c r="Z55" s="22">
        <v>95</v>
      </c>
      <c r="AA55" s="4" cm="1">
        <f t="array" ref="AA55">_xlfn.IFS(AND($C$64="Yes",$C$78="Yes",$C$92="Yes",$C$50="Yes"),1/((1/AG55)+(1/AL55)+(1/AQ55)+(1/AV55)+(1/BA55)),AND($C$64="Yes",$C$78="Yes",$C$92="Yes",$C$50="No"),1/((1/AG55)+(1/AL55)+(1/AQ55)+(1/AV55)),AND($C$64="Yes",$C$78="Yes",$C$92="No",$C$50="No"),1/((1/AG55)+(1/AL55)+(1/AQ55)),AND($C$64="Yes",$C$78="No",$C$92="No",$C$50="No"),1/((1/AG55)+(1/AL55)),AND($C$64="No",$C$78="No",$C$92="No",$C$50="No"),1/((1/AG55)),AND($C$64="Yes",$C$78="No",$C$92="No",$C$50="Yes"),1/((1/AG55)+(1/AL55)+(1/BA55)), AND($C$64="No",$C$78="No",$C$92="No",$C$50="Yes"),1/((1/AG55)+(1/BA55)), AND($C$64="No",$C$78="Yes",$C$92="No",$C$50="Yes"),1/((1/AG55)+(1/AQ55)+(1/BA55)))</f>
        <v>312.33967515280074</v>
      </c>
      <c r="AB55" s="28">
        <f t="shared" si="19"/>
        <v>0.79935871743486953</v>
      </c>
      <c r="AD55" s="26">
        <f t="shared" si="0"/>
        <v>317.29454364412948</v>
      </c>
      <c r="AE55" s="27">
        <f t="shared" si="1"/>
        <v>1.2435470920459598E-4</v>
      </c>
      <c r="AF55" s="28">
        <f t="shared" si="2"/>
        <v>0.25</v>
      </c>
      <c r="AG55" s="29">
        <f t="shared" si="20"/>
        <v>317.29451777837329</v>
      </c>
      <c r="AH55" s="11"/>
      <c r="AI55" s="26">
        <f t="shared" si="3"/>
        <v>20941.439880512546</v>
      </c>
      <c r="AJ55" s="27">
        <f t="shared" si="4"/>
        <v>4.4767695313654547E-6</v>
      </c>
      <c r="AK55" s="29">
        <f t="shared" si="5"/>
        <v>0.125</v>
      </c>
      <c r="AL55" s="29">
        <f t="shared" si="6"/>
        <v>20941.43987640884</v>
      </c>
      <c r="AN55" s="26">
        <f t="shared" si="7"/>
        <v>167531.51904410037</v>
      </c>
      <c r="AO55" s="27">
        <f t="shared" si="8"/>
        <v>3.5814156250923643E-4</v>
      </c>
      <c r="AP55" s="29">
        <f t="shared" si="9"/>
        <v>10</v>
      </c>
      <c r="AQ55" s="29" t="e">
        <f t="shared" si="10"/>
        <v>#N/A</v>
      </c>
      <c r="AS55" s="26">
        <f t="shared" si="11"/>
        <v>2538356.3491530353</v>
      </c>
      <c r="AT55" s="27">
        <f t="shared" si="12"/>
        <v>1.7907078125461821E-4</v>
      </c>
      <c r="AU55" s="29">
        <f t="shared" si="13"/>
        <v>5</v>
      </c>
      <c r="AV55" s="29" t="e">
        <f t="shared" si="14"/>
        <v>#N/A</v>
      </c>
      <c r="AX55" s="26">
        <f t="shared" si="15"/>
        <v>445562.55064920301</v>
      </c>
      <c r="AY55" s="27">
        <f t="shared" si="16"/>
        <v>4.4767695313654547E-6</v>
      </c>
      <c r="AZ55" s="29">
        <f t="shared" si="17"/>
        <v>0.125</v>
      </c>
      <c r="BA55" s="29">
        <f t="shared" si="18"/>
        <v>445562.55064474378</v>
      </c>
      <c r="BC55" s="30"/>
      <c r="BE55" s="11"/>
    </row>
    <row r="56" spans="2:57" ht="15.6" x14ac:dyDescent="0.35">
      <c r="B56" s="2" t="s">
        <v>170</v>
      </c>
      <c r="C56" s="43">
        <f>C51*$C$55</f>
        <v>3.76</v>
      </c>
      <c r="D56" s="10" t="s">
        <v>8</v>
      </c>
      <c r="Z56" s="22">
        <v>100</v>
      </c>
      <c r="AA56" s="4" cm="1">
        <f t="array" ref="AA56">_xlfn.IFS(AND($C$64="Yes",$C$78="Yes",$C$92="Yes",$C$50="Yes"),1/((1/AG56)+(1/AL56)+(1/AQ56)+(1/AV56)+(1/BA56)),AND($C$64="Yes",$C$78="Yes",$C$92="Yes",$C$50="No"),1/((1/AG56)+(1/AL56)+(1/AQ56)+(1/AV56)),AND($C$64="Yes",$C$78="Yes",$C$92="No",$C$50="No"),1/((1/AG56)+(1/AL56)+(1/AQ56)),AND($C$64="Yes",$C$78="No",$C$92="No",$C$50="No"),1/((1/AG56)+(1/AL56)),AND($C$64="No",$C$78="No",$C$92="No",$C$50="No"),1/((1/AG56)),AND($C$64="Yes",$C$78="No",$C$92="No",$C$50="Yes"),1/((1/AG56)+(1/AL56)+(1/BA56)), AND($C$64="No",$C$78="No",$C$92="No",$C$50="Yes"),1/((1/AG56)+(1/BA56)), AND($C$64="No",$C$78="Yes",$C$92="No",$C$50="Yes"),1/((1/AG56)+(1/AQ56)+(1/BA56)))</f>
        <v>296.72268882268793</v>
      </c>
      <c r="AB56" s="28">
        <f t="shared" si="19"/>
        <v>0.79935871743486953</v>
      </c>
      <c r="AD56" s="26">
        <f t="shared" si="0"/>
        <v>301.429816461923</v>
      </c>
      <c r="AE56" s="27">
        <f t="shared" si="1"/>
        <v>1.3089969389957473E-4</v>
      </c>
      <c r="AF56" s="28">
        <f t="shared" si="2"/>
        <v>0.25</v>
      </c>
      <c r="AG56" s="29">
        <f t="shared" si="20"/>
        <v>301.42978923481388</v>
      </c>
      <c r="AH56" s="11"/>
      <c r="AI56" s="26">
        <f t="shared" si="3"/>
        <v>19894.367886486918</v>
      </c>
      <c r="AJ56" s="27">
        <f t="shared" si="4"/>
        <v>4.7123889803846896E-6</v>
      </c>
      <c r="AK56" s="29">
        <f t="shared" si="5"/>
        <v>0.125</v>
      </c>
      <c r="AL56" s="29">
        <f t="shared" si="6"/>
        <v>19894.367882167226</v>
      </c>
      <c r="AN56" s="26">
        <f t="shared" si="7"/>
        <v>159154.94309189534</v>
      </c>
      <c r="AO56" s="27">
        <f t="shared" si="8"/>
        <v>3.7699111843077519E-4</v>
      </c>
      <c r="AP56" s="29">
        <f t="shared" si="9"/>
        <v>10</v>
      </c>
      <c r="AQ56" s="29" t="e">
        <f t="shared" si="10"/>
        <v>#N/A</v>
      </c>
      <c r="AS56" s="26">
        <f t="shared" si="11"/>
        <v>2411438.5316953841</v>
      </c>
      <c r="AT56" s="27">
        <f t="shared" si="12"/>
        <v>1.884955592153876E-4</v>
      </c>
      <c r="AU56" s="29">
        <f t="shared" si="13"/>
        <v>5</v>
      </c>
      <c r="AV56" s="29" t="e">
        <f t="shared" si="14"/>
        <v>#N/A</v>
      </c>
      <c r="AX56" s="26">
        <f t="shared" si="15"/>
        <v>423284.42311674292</v>
      </c>
      <c r="AY56" s="27">
        <f t="shared" si="16"/>
        <v>4.7123889803846896E-6</v>
      </c>
      <c r="AZ56" s="29">
        <f t="shared" si="17"/>
        <v>0.125</v>
      </c>
      <c r="BA56" s="29">
        <f t="shared" si="18"/>
        <v>423284.423112049</v>
      </c>
      <c r="BC56" s="30"/>
      <c r="BE56" s="11"/>
    </row>
    <row r="57" spans="2:57" x14ac:dyDescent="0.3">
      <c r="B57" s="2" t="s">
        <v>113</v>
      </c>
      <c r="C57" s="47">
        <f>C52/$C$55</f>
        <v>0.125</v>
      </c>
      <c r="D57" s="4" t="s">
        <v>21</v>
      </c>
      <c r="Z57" s="22">
        <v>150</v>
      </c>
      <c r="AA57" s="4" cm="1">
        <f t="array" ref="AA57">_xlfn.IFS(AND($C$64="Yes",$C$78="Yes",$C$92="Yes",$C$50="Yes"),1/((1/AG57)+(1/AL57)+(1/AQ57)+(1/AV57)+(1/BA57)),AND($C$64="Yes",$C$78="Yes",$C$92="Yes",$C$50="No"),1/((1/AG57)+(1/AL57)+(1/AQ57)+(1/AV57)),AND($C$64="Yes",$C$78="Yes",$C$92="No",$C$50="No"),1/((1/AG57)+(1/AL57)+(1/AQ57)),AND($C$64="Yes",$C$78="No",$C$92="No",$C$50="No"),1/((1/AG57)+(1/AL57)),AND($C$64="No",$C$78="No",$C$92="No",$C$50="No"),1/((1/AG57)),AND($C$64="Yes",$C$78="No",$C$92="No",$C$50="Yes"),1/((1/AG57)+(1/AL57)+(1/BA57)), AND($C$64="No",$C$78="No",$C$92="No",$C$50="Yes"),1/((1/AG57)+(1/BA57)), AND($C$64="No",$C$78="Yes",$C$92="No",$C$50="Yes"),1/((1/AG57)+(1/AQ57)+(1/BA57)))</f>
        <v>197.81510389487485</v>
      </c>
      <c r="AB57" s="28">
        <f t="shared" si="19"/>
        <v>0.79935871743486953</v>
      </c>
      <c r="AD57" s="26">
        <f t="shared" si="0"/>
        <v>200.95321097461536</v>
      </c>
      <c r="AE57" s="27">
        <f t="shared" si="1"/>
        <v>1.9634954084936208E-4</v>
      </c>
      <c r="AF57" s="28">
        <f t="shared" si="2"/>
        <v>0.25</v>
      </c>
      <c r="AG57" s="29">
        <f t="shared" si="20"/>
        <v>200.95317013400262</v>
      </c>
      <c r="AH57" s="11"/>
      <c r="AI57" s="26">
        <f t="shared" si="3"/>
        <v>13262.911924324611</v>
      </c>
      <c r="AJ57" s="27">
        <f t="shared" si="4"/>
        <v>7.0685834705770344E-6</v>
      </c>
      <c r="AK57" s="29">
        <f t="shared" si="5"/>
        <v>0.125</v>
      </c>
      <c r="AL57" s="29">
        <f t="shared" si="6"/>
        <v>13262.911917845076</v>
      </c>
      <c r="AN57" s="26">
        <f t="shared" si="7"/>
        <v>106103.29539459689</v>
      </c>
      <c r="AO57" s="27">
        <f t="shared" si="8"/>
        <v>5.6548667764616273E-4</v>
      </c>
      <c r="AP57" s="29">
        <f t="shared" si="9"/>
        <v>10</v>
      </c>
      <c r="AQ57" s="29" t="e">
        <f t="shared" si="10"/>
        <v>#N/A</v>
      </c>
      <c r="AS57" s="26">
        <f t="shared" si="11"/>
        <v>1607625.6877969226</v>
      </c>
      <c r="AT57" s="27">
        <f t="shared" si="12"/>
        <v>2.8274333882308137E-4</v>
      </c>
      <c r="AU57" s="29">
        <f t="shared" si="13"/>
        <v>5</v>
      </c>
      <c r="AV57" s="29" t="e">
        <f t="shared" si="14"/>
        <v>#N/A</v>
      </c>
      <c r="AX57" s="26">
        <f t="shared" si="15"/>
        <v>282189.61541116197</v>
      </c>
      <c r="AY57" s="27">
        <f t="shared" si="16"/>
        <v>7.0685834705770344E-6</v>
      </c>
      <c r="AZ57" s="29">
        <f t="shared" si="17"/>
        <v>0.125</v>
      </c>
      <c r="BA57" s="29">
        <f t="shared" si="18"/>
        <v>282189.61540412111</v>
      </c>
      <c r="BC57" s="30"/>
      <c r="BE57" s="11"/>
    </row>
    <row r="58" spans="2:57" x14ac:dyDescent="0.3">
      <c r="B58" s="2" t="s">
        <v>186</v>
      </c>
      <c r="C58" s="47">
        <f>C53/$C$55</f>
        <v>7.4999999999999997E-3</v>
      </c>
      <c r="D58" s="4" t="s">
        <v>5</v>
      </c>
      <c r="Z58" s="22">
        <v>200</v>
      </c>
      <c r="AA58" s="4" cm="1">
        <f t="array" ref="AA58">_xlfn.IFS(AND($C$64="Yes",$C$78="Yes",$C$92="Yes",$C$50="Yes"),1/((1/AG58)+(1/AL58)+(1/AQ58)+(1/AV58)+(1/BA58)),AND($C$64="Yes",$C$78="Yes",$C$92="Yes",$C$50="No"),1/((1/AG58)+(1/AL58)+(1/AQ58)+(1/AV58)),AND($C$64="Yes",$C$78="Yes",$C$92="No",$C$50="No"),1/((1/AG58)+(1/AL58)+(1/AQ58)),AND($C$64="Yes",$C$78="No",$C$92="No",$C$50="No"),1/((1/AG58)+(1/AL58)),AND($C$64="No",$C$78="No",$C$92="No",$C$50="No"),1/((1/AG58)),AND($C$64="Yes",$C$78="No",$C$92="No",$C$50="Yes"),1/((1/AG58)+(1/AL58)+(1/BA58)), AND($C$64="No",$C$78="No",$C$92="No",$C$50="Yes"),1/((1/AG58)+(1/BA58)), AND($C$64="No",$C$78="Yes",$C$92="No",$C$50="Yes"),1/((1/AG58)+(1/AQ58)+(1/BA58)))</f>
        <v>148.36130483496228</v>
      </c>
      <c r="AB58" s="28">
        <f t="shared" si="19"/>
        <v>0.79935871743486953</v>
      </c>
      <c r="AD58" s="26">
        <f t="shared" si="0"/>
        <v>150.7149082309615</v>
      </c>
      <c r="AE58" s="27">
        <f t="shared" si="1"/>
        <v>2.6179938779914946E-4</v>
      </c>
      <c r="AF58" s="28">
        <f t="shared" si="2"/>
        <v>0.25</v>
      </c>
      <c r="AG58" s="29">
        <f>SQRT(AF58^(2)+ABS(AD58-AE58)^(2))</f>
        <v>150.71485377690638</v>
      </c>
      <c r="AH58" s="11"/>
      <c r="AI58" s="26">
        <f t="shared" si="3"/>
        <v>9947.183943243459</v>
      </c>
      <c r="AJ58" s="27">
        <f t="shared" si="4"/>
        <v>9.4247779607693791E-6</v>
      </c>
      <c r="AK58" s="29">
        <f t="shared" si="5"/>
        <v>0.125</v>
      </c>
      <c r="AL58" s="29">
        <f t="shared" si="6"/>
        <v>9947.1839346040797</v>
      </c>
      <c r="AN58" s="26">
        <f t="shared" si="7"/>
        <v>79577.471545947672</v>
      </c>
      <c r="AO58" s="27">
        <f t="shared" si="8"/>
        <v>7.5398223686155038E-4</v>
      </c>
      <c r="AP58" s="29">
        <f t="shared" si="9"/>
        <v>10</v>
      </c>
      <c r="AQ58" s="29" t="e">
        <f t="shared" si="10"/>
        <v>#N/A</v>
      </c>
      <c r="AS58" s="26">
        <f t="shared" si="11"/>
        <v>1205719.265847692</v>
      </c>
      <c r="AT58" s="27">
        <f t="shared" si="12"/>
        <v>3.7699111843077519E-4</v>
      </c>
      <c r="AU58" s="29">
        <f t="shared" si="13"/>
        <v>5</v>
      </c>
      <c r="AV58" s="29" t="e">
        <f t="shared" si="14"/>
        <v>#N/A</v>
      </c>
      <c r="AX58" s="26">
        <f t="shared" si="15"/>
        <v>211642.21155837146</v>
      </c>
      <c r="AY58" s="27">
        <f t="shared" si="16"/>
        <v>9.4247779607693791E-6</v>
      </c>
      <c r="AZ58" s="29">
        <f t="shared" si="17"/>
        <v>0.125</v>
      </c>
      <c r="BA58" s="29">
        <f t="shared" si="18"/>
        <v>211642.21154898359</v>
      </c>
      <c r="BB58" s="11"/>
    </row>
    <row r="59" spans="2:57" x14ac:dyDescent="0.3">
      <c r="B59" s="2" t="s">
        <v>112</v>
      </c>
      <c r="C59" s="47">
        <f>(1/(2*PI()*(SQRT($C$51*0.000001*$C$53*0.000000001))))*0.000001</f>
        <v>29.970609664098358</v>
      </c>
      <c r="D59" s="4" t="s">
        <v>87</v>
      </c>
      <c r="Z59" s="22">
        <v>250</v>
      </c>
      <c r="AA59" s="4" cm="1">
        <f t="array" ref="AA59">_xlfn.IFS(AND($C$64="Yes",$C$78="Yes",$C$92="Yes",$C$50="Yes"),1/((1/AG59)+(1/AL59)+(1/AQ59)+(1/AV59)+(1/BA59)),AND($C$64="Yes",$C$78="Yes",$C$92="Yes",$C$50="No"),1/((1/AG59)+(1/AL59)+(1/AQ59)+(1/AV59)),AND($C$64="Yes",$C$78="Yes",$C$92="No",$C$50="No"),1/((1/AG59)+(1/AL59)+(1/AQ59)),AND($C$64="Yes",$C$78="No",$C$92="No",$C$50="No"),1/((1/AG59)+(1/AL59)),AND($C$64="No",$C$78="No",$C$92="No",$C$50="No"),1/((1/AG59)),AND($C$64="Yes",$C$78="No",$C$92="No",$C$50="Yes"),1/((1/AG59)+(1/AL59)+(1/BA59)), AND($C$64="No",$C$78="No",$C$92="No",$C$50="Yes"),1/((1/AG59)+(1/BA59)), AND($C$64="No",$C$78="Yes",$C$92="No",$C$50="Yes"),1/((1/AG59)+(1/AQ59)+(1/BA59)))</f>
        <v>118.68902012226516</v>
      </c>
      <c r="AB59" s="28">
        <f t="shared" si="19"/>
        <v>0.79935871743486953</v>
      </c>
      <c r="AD59" s="26">
        <f t="shared" si="0"/>
        <v>120.57192658476922</v>
      </c>
      <c r="AE59" s="27">
        <f t="shared" si="1"/>
        <v>3.2724923474893681E-4</v>
      </c>
      <c r="AF59" s="28">
        <f t="shared" si="2"/>
        <v>0.25</v>
      </c>
      <c r="AG59" s="29">
        <f>SQRT(AF59^(2)+ABS(AD59-AE59)^(2))</f>
        <v>120.57185851735328</v>
      </c>
      <c r="AH59" s="11"/>
      <c r="AI59" s="26">
        <f t="shared" si="3"/>
        <v>7957.7471545947683</v>
      </c>
      <c r="AJ59" s="27">
        <f t="shared" si="4"/>
        <v>1.1780972450961723E-5</v>
      </c>
      <c r="AK59" s="29">
        <f t="shared" si="5"/>
        <v>0.125</v>
      </c>
      <c r="AL59" s="29">
        <f t="shared" si="6"/>
        <v>7957.7471437955437</v>
      </c>
      <c r="AN59" s="26">
        <f t="shared" si="7"/>
        <v>63661.977236758146</v>
      </c>
      <c r="AO59" s="27">
        <f t="shared" si="8"/>
        <v>9.4247779607693793E-4</v>
      </c>
      <c r="AP59" s="29">
        <f t="shared" si="9"/>
        <v>10</v>
      </c>
      <c r="AQ59" s="29" t="e">
        <f t="shared" si="10"/>
        <v>#N/A</v>
      </c>
      <c r="AS59" s="26">
        <f t="shared" si="11"/>
        <v>964575.41267815372</v>
      </c>
      <c r="AT59" s="27">
        <f t="shared" si="12"/>
        <v>4.7123889803846896E-4</v>
      </c>
      <c r="AU59" s="29">
        <f t="shared" si="13"/>
        <v>5</v>
      </c>
      <c r="AV59" s="29" t="e">
        <f t="shared" si="14"/>
        <v>#N/A</v>
      </c>
      <c r="AX59" s="26">
        <f t="shared" si="15"/>
        <v>169313.76924669719</v>
      </c>
      <c r="AY59" s="27">
        <f t="shared" si="16"/>
        <v>1.1780972450961723E-5</v>
      </c>
      <c r="AZ59" s="29">
        <f t="shared" si="17"/>
        <v>0.125</v>
      </c>
      <c r="BA59" s="29">
        <f t="shared" si="18"/>
        <v>169313.76923496235</v>
      </c>
      <c r="BB59" s="11"/>
    </row>
    <row r="60" spans="2:57" x14ac:dyDescent="0.3">
      <c r="B60" s="2" t="s">
        <v>432</v>
      </c>
      <c r="C60" s="47">
        <f>1000/(2*PI()*$C$33*1000*C56*0.000001)</f>
        <v>84.656884623348589</v>
      </c>
      <c r="D60" s="4" t="s">
        <v>425</v>
      </c>
      <c r="Z60" s="22">
        <v>300</v>
      </c>
      <c r="AA60" s="4" cm="1">
        <f t="array" ref="AA60">_xlfn.IFS(AND($C$64="Yes",$C$78="Yes",$C$92="Yes",$C$50="Yes"),1/((1/AG60)+(1/AL60)+(1/AQ60)+(1/AV60)+(1/BA60)),AND($C$64="Yes",$C$78="Yes",$C$92="Yes",$C$50="No"),1/((1/AG60)+(1/AL60)+(1/AQ60)+(1/AV60)),AND($C$64="Yes",$C$78="Yes",$C$92="No",$C$50="No"),1/((1/AG60)+(1/AL60)+(1/AQ60)),AND($C$64="Yes",$C$78="No",$C$92="No",$C$50="No"),1/((1/AG60)+(1/AL60)),AND($C$64="No",$C$78="No",$C$92="No",$C$50="No"),1/((1/AG60)),AND($C$64="Yes",$C$78="No",$C$92="No",$C$50="Yes"),1/((1/AG60)+(1/AL60)+(1/BA60)), AND($C$64="No",$C$78="No",$C$92="No",$C$50="Yes"),1/((1/AG60)+(1/BA60)), AND($C$64="No",$C$78="Yes",$C$92="No",$C$50="Yes"),1/((1/AG60)+(1/AQ60)+(1/BA60)))</f>
        <v>98.907492583234983</v>
      </c>
      <c r="AB60" s="28">
        <f t="shared" si="19"/>
        <v>0.79935871743486953</v>
      </c>
      <c r="AD60" s="26">
        <f t="shared" si="0"/>
        <v>100.47660548730768</v>
      </c>
      <c r="AE60" s="27">
        <f t="shared" si="1"/>
        <v>3.9269908169872416E-4</v>
      </c>
      <c r="AF60" s="28">
        <f t="shared" si="2"/>
        <v>0.25</v>
      </c>
      <c r="AG60" s="29">
        <f>SQRT(AF60^(2)+ABS(AD60-AE60)^(2))</f>
        <v>100.47652380663288</v>
      </c>
      <c r="AH60" s="11"/>
      <c r="AI60" s="26">
        <f t="shared" si="3"/>
        <v>6631.4559621623057</v>
      </c>
      <c r="AJ60" s="27">
        <f t="shared" si="4"/>
        <v>1.4137166941154069E-5</v>
      </c>
      <c r="AK60" s="29">
        <f t="shared" si="5"/>
        <v>0.125</v>
      </c>
      <c r="AL60" s="29">
        <f t="shared" si="6"/>
        <v>6631.4559492032367</v>
      </c>
      <c r="AN60" s="26">
        <f t="shared" si="7"/>
        <v>53051.647697298446</v>
      </c>
      <c r="AO60" s="27">
        <f t="shared" si="8"/>
        <v>1.1309733552923255E-3</v>
      </c>
      <c r="AP60" s="29">
        <f t="shared" si="9"/>
        <v>10</v>
      </c>
      <c r="AQ60" s="29" t="e">
        <f t="shared" si="10"/>
        <v>#N/A</v>
      </c>
      <c r="AS60" s="26">
        <f t="shared" si="11"/>
        <v>803812.84389846132</v>
      </c>
      <c r="AT60" s="27">
        <f t="shared" si="12"/>
        <v>5.6548667764616273E-4</v>
      </c>
      <c r="AU60" s="29">
        <f t="shared" si="13"/>
        <v>5</v>
      </c>
      <c r="AV60" s="29" t="e">
        <f t="shared" si="14"/>
        <v>#N/A</v>
      </c>
      <c r="AX60" s="26">
        <f t="shared" si="15"/>
        <v>141094.80770558098</v>
      </c>
      <c r="AY60" s="27">
        <f t="shared" si="16"/>
        <v>1.4137166941154069E-5</v>
      </c>
      <c r="AZ60" s="29">
        <f t="shared" si="17"/>
        <v>0.125</v>
      </c>
      <c r="BA60" s="29">
        <f t="shared" si="18"/>
        <v>141094.80769149918</v>
      </c>
      <c r="BB60" s="11"/>
    </row>
    <row r="61" spans="2:57" x14ac:dyDescent="0.3">
      <c r="B61" s="2" t="s">
        <v>433</v>
      </c>
      <c r="C61" s="47">
        <f>2*PI()*C58*0.000000001*$C$33*1000*1000</f>
        <v>2.356194490192345E-2</v>
      </c>
      <c r="D61" s="4" t="s">
        <v>425</v>
      </c>
      <c r="Z61" s="22">
        <v>350</v>
      </c>
      <c r="AA61" s="4" cm="1">
        <f t="array" ref="AA61">_xlfn.IFS(AND($C$64="Yes",$C$78="Yes",$C$92="Yes",$C$50="Yes"),1/((1/AG61)+(1/AL61)+(1/AQ61)+(1/AV61)+(1/BA61)),AND($C$64="Yes",$C$78="Yes",$C$92="Yes",$C$50="No"),1/((1/AG61)+(1/AL61)+(1/AQ61)+(1/AV61)),AND($C$64="Yes",$C$78="Yes",$C$92="No",$C$50="No"),1/((1/AG61)+(1/AL61)+(1/AQ61)),AND($C$64="Yes",$C$78="No",$C$92="No",$C$50="No"),1/((1/AG61)+(1/AL61)),AND($C$64="No",$C$78="No",$C$92="No",$C$50="No"),1/((1/AG61)),AND($C$64="Yes",$C$78="No",$C$92="No",$C$50="Yes"),1/((1/AG61)+(1/AL61)+(1/BA61)), AND($C$64="No",$C$78="No",$C$92="No",$C$50="Yes"),1/((1/AG61)+(1/BA61)), AND($C$64="No",$C$78="Yes",$C$92="No",$C$50="Yes"),1/((1/AG61)+(1/AQ61)+(1/BA61)))</f>
        <v>84.777826286362171</v>
      </c>
      <c r="AB61" s="28">
        <f t="shared" si="19"/>
        <v>0.79935871743486953</v>
      </c>
      <c r="AD61" s="26">
        <f t="shared" ref="AD61:AD92" si="21">1000/(2*PI()*$Z61*$C$41*$C$37*0.000001)</f>
        <v>86.122804703406572</v>
      </c>
      <c r="AE61" s="27">
        <f t="shared" ref="AE61:AE92" si="22">2*PI()*$Z61*((0.000000001*$C$39)/$C$41)*1000</f>
        <v>4.5814892864851151E-4</v>
      </c>
      <c r="AF61" s="28">
        <f t="shared" ref="AF61:AF92" si="23">($C$38)/$C$41</f>
        <v>0.25</v>
      </c>
      <c r="AG61" s="29">
        <f>SQRT(AF61^(2)+ABS(AD61-AE61)^(2))</f>
        <v>86.122709409595302</v>
      </c>
      <c r="AH61" s="11"/>
      <c r="AI61" s="26">
        <f t="shared" ref="AI61:AI92" si="24">1000/(2*PI()*$Z61*$C$69*$C$65*0.000001)</f>
        <v>5684.1051104248336</v>
      </c>
      <c r="AJ61" s="27">
        <f t="shared" ref="AJ61:AJ92" si="25">2*PI()*$Z61*((0.000000001*$C$67)/$C$69)*1000</f>
        <v>1.6493361431346413E-5</v>
      </c>
      <c r="AK61" s="29">
        <f t="shared" ref="AK61:AK92" si="26">($C$66)/$C$69</f>
        <v>0.125</v>
      </c>
      <c r="AL61" s="29">
        <f t="shared" ref="AL61:AL92" si="27">IF($C$64="Yes", SQRT(AK61^(2)+ABS(AI61-AJ61)^(2)), NA())</f>
        <v>5684.1050953059184</v>
      </c>
      <c r="AN61" s="26">
        <f t="shared" ref="AN61:AN92" si="28">1000/(2*PI()*$Z61*$C$82*$C$79*0.000001)</f>
        <v>45472.840883398669</v>
      </c>
      <c r="AO61" s="27">
        <f t="shared" ref="AO61:AO92" si="29">2*PI()*$Z61*((0.000000001*$C$81)/$C$82)*1000</f>
        <v>1.3194689145077129E-3</v>
      </c>
      <c r="AP61" s="29">
        <f t="shared" ref="AP61:AP92" si="30">($C$80)/$C$82</f>
        <v>10</v>
      </c>
      <c r="AQ61" s="29" t="e">
        <f t="shared" ref="AQ61:AQ92" si="31">IF($C$78="Yes", SQRT(AP61^(2)+ABS(AN61-AO61)^(2)), NA())</f>
        <v>#N/A</v>
      </c>
      <c r="AS61" s="26">
        <f t="shared" ref="AS61:AS92" si="32">1000/(2*PI()*$Z61*$C$97*$C$93*0.000001)</f>
        <v>688982.43762725266</v>
      </c>
      <c r="AT61" s="27">
        <f t="shared" ref="AT61:AT92" si="33">2*PI()*$Z61*((0.000000001*$C$95)/$C$97)*1000</f>
        <v>6.5973445725385645E-4</v>
      </c>
      <c r="AU61" s="29">
        <f t="shared" ref="AU61:AU92" si="34">($C$94)/$C$97</f>
        <v>5</v>
      </c>
      <c r="AV61" s="29" t="e">
        <f t="shared" ref="AV61:AV92" si="35">IF($C$92="Yes", SQRT(AU61^(2)+ABS(AS61-AT61)^(2)), NA())</f>
        <v>#N/A</v>
      </c>
      <c r="AX61" s="26">
        <f t="shared" ref="AX61:AX92" si="36">1000/(2*PI()*$Z61*$C$55*$C$51*0.000001)</f>
        <v>120938.40660478368</v>
      </c>
      <c r="AY61" s="27">
        <f t="shared" ref="AY61:AY92" si="37">2*PI()*$Z61*((0.000000001*$C$53)/$C$55)*1000</f>
        <v>1.6493361431346413E-5</v>
      </c>
      <c r="AZ61" s="29">
        <f t="shared" ref="AZ61:AZ92" si="38">($C$52)/$C$55</f>
        <v>0.125</v>
      </c>
      <c r="BA61" s="29">
        <f t="shared" ref="BA61:BA92" si="39">IF($C$50="Yes", SQRT(AZ61^(2)+ABS(AX61-AY61)^(2)), NA())</f>
        <v>120938.40658835492</v>
      </c>
      <c r="BB61" s="11"/>
    </row>
    <row r="62" spans="2:57" x14ac:dyDescent="0.3">
      <c r="B62" s="2" t="s">
        <v>437</v>
      </c>
      <c r="C62" s="47">
        <f>SQRT(C57^(2)+ABS(C60-C61)^(2))</f>
        <v>84.633414988372493</v>
      </c>
      <c r="D62" s="4" t="s">
        <v>425</v>
      </c>
      <c r="Z62" s="22">
        <v>400</v>
      </c>
      <c r="AA62" s="4" cm="1">
        <f t="array" ref="AA62">_xlfn.IFS(AND($C$64="Yes",$C$78="Yes",$C$92="Yes",$C$50="Yes"),1/((1/AG62)+(1/AL62)+(1/AQ62)+(1/AV62)+(1/BA62)),AND($C$64="Yes",$C$78="Yes",$C$92="Yes",$C$50="No"),1/((1/AG62)+(1/AL62)+(1/AQ62)+(1/AV62)),AND($C$64="Yes",$C$78="Yes",$C$92="No",$C$50="No"),1/((1/AG62)+(1/AL62)+(1/AQ62)),AND($C$64="Yes",$C$78="No",$C$92="No",$C$50="No"),1/((1/AG62)+(1/AL62)),AND($C$64="No",$C$78="No",$C$92="No",$C$50="No"),1/((1/AG62)),AND($C$64="Yes",$C$78="No",$C$92="No",$C$50="Yes"),1/((1/AG62)+(1/AL62)+(1/BA62)), AND($C$64="No",$C$78="No",$C$92="No",$C$50="Yes"),1/((1/AG62)+(1/BA62)), AND($C$64="No",$C$78="Yes",$C$92="No",$C$50="Yes"),1/((1/AG62)+(1/AQ62)+(1/BA62)))</f>
        <v>74.180573265901913</v>
      </c>
      <c r="AB62" s="28">
        <f t="shared" si="19"/>
        <v>0.79935871743486953</v>
      </c>
      <c r="AD62" s="26">
        <f t="shared" si="21"/>
        <v>75.357454115480749</v>
      </c>
      <c r="AE62" s="27">
        <f t="shared" si="22"/>
        <v>5.2359877559829892E-4</v>
      </c>
      <c r="AF62" s="28">
        <f t="shared" si="23"/>
        <v>0.25</v>
      </c>
      <c r="AG62" s="29">
        <f t="shared" si="20"/>
        <v>75.357345208675767</v>
      </c>
      <c r="AH62" s="11"/>
      <c r="AI62" s="26">
        <f t="shared" si="24"/>
        <v>4973.5919716217295</v>
      </c>
      <c r="AJ62" s="27">
        <f t="shared" si="25"/>
        <v>1.8849555921538758E-5</v>
      </c>
      <c r="AK62" s="29">
        <f t="shared" si="26"/>
        <v>0.125</v>
      </c>
      <c r="AL62" s="29">
        <f t="shared" si="27"/>
        <v>4973.59195434297</v>
      </c>
      <c r="AN62" s="26">
        <f t="shared" si="28"/>
        <v>39788.735772973836</v>
      </c>
      <c r="AO62" s="27">
        <f t="shared" si="29"/>
        <v>1.5079644737231008E-3</v>
      </c>
      <c r="AP62" s="29">
        <f t="shared" si="30"/>
        <v>10</v>
      </c>
      <c r="AQ62" s="29" t="e">
        <f t="shared" si="31"/>
        <v>#N/A</v>
      </c>
      <c r="AS62" s="26">
        <f t="shared" si="32"/>
        <v>602859.63292384602</v>
      </c>
      <c r="AT62" s="27">
        <f t="shared" si="33"/>
        <v>7.5398223686155038E-4</v>
      </c>
      <c r="AU62" s="29">
        <f t="shared" si="34"/>
        <v>5</v>
      </c>
      <c r="AV62" s="29" t="e">
        <f t="shared" si="35"/>
        <v>#N/A</v>
      </c>
      <c r="AX62" s="26">
        <f t="shared" si="36"/>
        <v>105821.10577918573</v>
      </c>
      <c r="AY62" s="27">
        <f t="shared" si="37"/>
        <v>1.8849555921538758E-5</v>
      </c>
      <c r="AZ62" s="29">
        <f t="shared" si="38"/>
        <v>0.125</v>
      </c>
      <c r="BA62" s="29">
        <f t="shared" si="39"/>
        <v>105821.10576040999</v>
      </c>
      <c r="BC62" s="30"/>
    </row>
    <row r="63" spans="2:57" x14ac:dyDescent="0.3">
      <c r="Z63" s="22">
        <v>450</v>
      </c>
      <c r="AA63" s="4" cm="1">
        <f t="array" ref="AA63">_xlfn.IFS(AND($C$64="Yes",$C$78="Yes",$C$92="Yes",$C$50="Yes"),1/((1/AG63)+(1/AL63)+(1/AQ63)+(1/AV63)+(1/BA63)),AND($C$64="Yes",$C$78="Yes",$C$92="Yes",$C$50="No"),1/((1/AG63)+(1/AL63)+(1/AQ63)+(1/AV63)),AND($C$64="Yes",$C$78="Yes",$C$92="No",$C$50="No"),1/((1/AG63)+(1/AL63)+(1/AQ63)),AND($C$64="Yes",$C$78="No",$C$92="No",$C$50="No"),1/((1/AG63)+(1/AL63)),AND($C$64="No",$C$78="No",$C$92="No",$C$50="No"),1/((1/AG63)),AND($C$64="Yes",$C$78="No",$C$92="No",$C$50="Yes"),1/((1/AG63)+(1/AL63)+(1/BA63)), AND($C$64="No",$C$78="No",$C$92="No",$C$50="Yes"),1/((1/AG63)+(1/BA63)), AND($C$64="No",$C$78="Yes",$C$92="No",$C$50="Yes"),1/((1/AG63)+(1/AQ63)+(1/BA63)))</f>
        <v>65.938262429782469</v>
      </c>
      <c r="AB63" s="28">
        <f t="shared" si="19"/>
        <v>0.79935871743486953</v>
      </c>
      <c r="AD63" s="26">
        <f t="shared" si="21"/>
        <v>66.98440365820511</v>
      </c>
      <c r="AE63" s="27">
        <f t="shared" si="22"/>
        <v>5.8904862254808622E-4</v>
      </c>
      <c r="AF63" s="28">
        <f t="shared" si="23"/>
        <v>0.25</v>
      </c>
      <c r="AG63" s="29">
        <f t="shared" si="20"/>
        <v>66.984281138569571</v>
      </c>
      <c r="AH63" s="11"/>
      <c r="AI63" s="26">
        <f t="shared" si="24"/>
        <v>4420.9706414415377</v>
      </c>
      <c r="AJ63" s="27">
        <f t="shared" si="25"/>
        <v>2.1205750411731104E-5</v>
      </c>
      <c r="AK63" s="29">
        <f t="shared" si="26"/>
        <v>0.125</v>
      </c>
      <c r="AL63" s="29">
        <f t="shared" si="27"/>
        <v>4420.9706220029329</v>
      </c>
      <c r="AN63" s="26">
        <f t="shared" si="28"/>
        <v>35367.765131532302</v>
      </c>
      <c r="AO63" s="27">
        <f t="shared" si="29"/>
        <v>1.6964600329384882E-3</v>
      </c>
      <c r="AP63" s="29">
        <f t="shared" si="30"/>
        <v>10</v>
      </c>
      <c r="AQ63" s="29" t="e">
        <f t="shared" si="31"/>
        <v>#N/A</v>
      </c>
      <c r="AS63" s="26">
        <f t="shared" si="32"/>
        <v>535875.22926564096</v>
      </c>
      <c r="AT63" s="27">
        <f t="shared" si="33"/>
        <v>8.482300164692441E-4</v>
      </c>
      <c r="AU63" s="29">
        <f t="shared" si="34"/>
        <v>5</v>
      </c>
      <c r="AV63" s="29" t="e">
        <f t="shared" si="35"/>
        <v>#N/A</v>
      </c>
      <c r="AX63" s="26">
        <f t="shared" si="36"/>
        <v>94063.205137053999</v>
      </c>
      <c r="AY63" s="27">
        <f t="shared" si="37"/>
        <v>2.1205750411731104E-5</v>
      </c>
      <c r="AZ63" s="29">
        <f t="shared" si="38"/>
        <v>0.125</v>
      </c>
      <c r="BA63" s="29">
        <f t="shared" si="39"/>
        <v>94063.205115931298</v>
      </c>
      <c r="BC63" s="30"/>
    </row>
    <row r="64" spans="2:57" ht="15.6" x14ac:dyDescent="0.35">
      <c r="B64" s="2" t="s">
        <v>98</v>
      </c>
      <c r="C64" s="55" t="s">
        <v>7</v>
      </c>
      <c r="Z64" s="22">
        <v>500</v>
      </c>
      <c r="AA64" s="4" cm="1">
        <f t="array" ref="AA64">_xlfn.IFS(AND($C$64="Yes",$C$78="Yes",$C$92="Yes",$C$50="Yes"),1/((1/AG64)+(1/AL64)+(1/AQ64)+(1/AV64)+(1/BA64)),AND($C$64="Yes",$C$78="Yes",$C$92="Yes",$C$50="No"),1/((1/AG64)+(1/AL64)+(1/AQ64)+(1/AV64)),AND($C$64="Yes",$C$78="Yes",$C$92="No",$C$50="No"),1/((1/AG64)+(1/AL64)+(1/AQ64)),AND($C$64="Yes",$C$78="No",$C$92="No",$C$50="No"),1/((1/AG64)+(1/AL64)),AND($C$64="No",$C$78="No",$C$92="No",$C$50="No"),1/((1/AG64)),AND($C$64="Yes",$C$78="No",$C$92="No",$C$50="Yes"),1/((1/AG64)+(1/AL64)+(1/BA64)), AND($C$64="No",$C$78="No",$C$92="No",$C$50="Yes"),1/((1/AG64)+(1/BA64)), AND($C$64="No",$C$78="Yes",$C$92="No",$C$50="Yes"),1/((1/AG64)+(1/AQ64)+(1/BA64)))</f>
        <v>59.344411122768648</v>
      </c>
      <c r="AB64" s="28">
        <f t="shared" si="19"/>
        <v>0.79935871743486953</v>
      </c>
      <c r="AD64" s="26">
        <f t="shared" si="21"/>
        <v>60.285963292384608</v>
      </c>
      <c r="AE64" s="27">
        <f t="shared" si="22"/>
        <v>6.5449846949787362E-4</v>
      </c>
      <c r="AF64" s="28">
        <f t="shared" si="23"/>
        <v>0.25</v>
      </c>
      <c r="AG64" s="29">
        <f t="shared" si="20"/>
        <v>60.285827160102052</v>
      </c>
      <c r="AH64" s="11"/>
      <c r="AI64" s="26">
        <f t="shared" si="24"/>
        <v>3978.8735772973841</v>
      </c>
      <c r="AJ64" s="27">
        <f t="shared" si="25"/>
        <v>2.3561944901923446E-5</v>
      </c>
      <c r="AK64" s="29">
        <f t="shared" si="26"/>
        <v>0.125</v>
      </c>
      <c r="AL64" s="29">
        <f t="shared" si="27"/>
        <v>3978.8735556989345</v>
      </c>
      <c r="AN64" s="26">
        <f t="shared" si="28"/>
        <v>31830.988618379073</v>
      </c>
      <c r="AO64" s="27">
        <f t="shared" si="29"/>
        <v>1.8849555921538759E-3</v>
      </c>
      <c r="AP64" s="29">
        <f t="shared" si="30"/>
        <v>10</v>
      </c>
      <c r="AQ64" s="29" t="e">
        <f t="shared" si="31"/>
        <v>#N/A</v>
      </c>
      <c r="AS64" s="26">
        <f t="shared" si="32"/>
        <v>482287.70633907686</v>
      </c>
      <c r="AT64" s="27">
        <f t="shared" si="33"/>
        <v>9.4247779607693793E-4</v>
      </c>
      <c r="AU64" s="29">
        <f t="shared" si="34"/>
        <v>5</v>
      </c>
      <c r="AV64" s="29" t="e">
        <f t="shared" si="35"/>
        <v>#N/A</v>
      </c>
      <c r="AX64" s="26">
        <f t="shared" si="36"/>
        <v>84656.884623348597</v>
      </c>
      <c r="AY64" s="27">
        <f t="shared" si="37"/>
        <v>2.3561944901923446E-5</v>
      </c>
      <c r="AZ64" s="29">
        <f t="shared" si="38"/>
        <v>0.125</v>
      </c>
      <c r="BA64" s="29">
        <f t="shared" si="39"/>
        <v>84656.884599878933</v>
      </c>
      <c r="BC64" s="30"/>
    </row>
    <row r="65" spans="2:61" ht="15.6" x14ac:dyDescent="0.35">
      <c r="B65" s="2" t="s">
        <v>99</v>
      </c>
      <c r="C65" s="55">
        <v>1</v>
      </c>
      <c r="D65" s="10" t="s">
        <v>8</v>
      </c>
      <c r="Z65" s="22">
        <v>550</v>
      </c>
      <c r="AA65" s="4" cm="1">
        <f t="array" ref="AA65">_xlfn.IFS(AND($C$64="Yes",$C$78="Yes",$C$92="Yes",$C$50="Yes"),1/((1/AG65)+(1/AL65)+(1/AQ65)+(1/AV65)+(1/BA65)),AND($C$64="Yes",$C$78="Yes",$C$92="Yes",$C$50="No"),1/((1/AG65)+(1/AL65)+(1/AQ65)+(1/AV65)),AND($C$64="Yes",$C$78="Yes",$C$92="No",$C$50="No"),1/((1/AG65)+(1/AL65)+(1/AQ65)),AND($C$64="Yes",$C$78="No",$C$92="No",$C$50="No"),1/((1/AG65)+(1/AL65)),AND($C$64="No",$C$78="No",$C$92="No",$C$50="No"),1/((1/AG65)),AND($C$64="Yes",$C$78="No",$C$92="No",$C$50="Yes"),1/((1/AG65)+(1/AL65)+(1/BA65)), AND($C$64="No",$C$78="No",$C$92="No",$C$50="Yes"),1/((1/AG65)+(1/BA65)), AND($C$64="No",$C$78="Yes",$C$92="No",$C$50="Yes"),1/((1/AG65)+(1/AQ65)+(1/BA65)))</f>
        <v>53.949439473354381</v>
      </c>
      <c r="AB65" s="28">
        <f t="shared" si="19"/>
        <v>0.79935871743486953</v>
      </c>
      <c r="AD65" s="26">
        <f t="shared" si="21"/>
        <v>54.805421174895088</v>
      </c>
      <c r="AE65" s="27">
        <f t="shared" si="22"/>
        <v>7.1994831644766092E-4</v>
      </c>
      <c r="AF65" s="28">
        <f t="shared" si="23"/>
        <v>0.25</v>
      </c>
      <c r="AG65" s="29">
        <f t="shared" si="20"/>
        <v>54.805271430169476</v>
      </c>
      <c r="AH65" s="11"/>
      <c r="AI65" s="26">
        <f t="shared" si="24"/>
        <v>3617.157797543076</v>
      </c>
      <c r="AJ65" s="27">
        <f t="shared" si="25"/>
        <v>2.5918139392115792E-5</v>
      </c>
      <c r="AK65" s="29">
        <f t="shared" si="26"/>
        <v>0.125</v>
      </c>
      <c r="AL65" s="29">
        <f t="shared" si="27"/>
        <v>3617.1577737847815</v>
      </c>
      <c r="AN65" s="26">
        <f t="shared" si="28"/>
        <v>28937.262380344608</v>
      </c>
      <c r="AO65" s="27">
        <f t="shared" si="29"/>
        <v>2.0734511513692635E-3</v>
      </c>
      <c r="AP65" s="29">
        <f t="shared" si="30"/>
        <v>10</v>
      </c>
      <c r="AQ65" s="29" t="e">
        <f t="shared" si="31"/>
        <v>#N/A</v>
      </c>
      <c r="AS65" s="26">
        <f t="shared" si="32"/>
        <v>438443.36939916073</v>
      </c>
      <c r="AT65" s="27">
        <f t="shared" si="33"/>
        <v>1.0367255756846318E-3</v>
      </c>
      <c r="AU65" s="29">
        <f t="shared" si="34"/>
        <v>5</v>
      </c>
      <c r="AV65" s="29" t="e">
        <f t="shared" si="35"/>
        <v>#N/A</v>
      </c>
      <c r="AX65" s="26">
        <f t="shared" si="36"/>
        <v>76960.804203044157</v>
      </c>
      <c r="AY65" s="27">
        <f t="shared" si="37"/>
        <v>2.5918139392115792E-5</v>
      </c>
      <c r="AZ65" s="29">
        <f t="shared" si="38"/>
        <v>0.125</v>
      </c>
      <c r="BA65" s="29">
        <f t="shared" si="39"/>
        <v>76960.804177227532</v>
      </c>
      <c r="BC65" s="30"/>
    </row>
    <row r="66" spans="2:61" x14ac:dyDescent="0.3">
      <c r="B66" s="2" t="s">
        <v>100</v>
      </c>
      <c r="C66" s="55">
        <v>10</v>
      </c>
      <c r="D66" s="4" t="s">
        <v>21</v>
      </c>
      <c r="Z66" s="22">
        <v>600</v>
      </c>
      <c r="AA66" s="4" cm="1">
        <f t="array" ref="AA66">_xlfn.IFS(AND($C$64="Yes",$C$78="Yes",$C$92="Yes",$C$50="Yes"),1/((1/AG66)+(1/AL66)+(1/AQ66)+(1/AV66)+(1/BA66)),AND($C$64="Yes",$C$78="Yes",$C$92="Yes",$C$50="No"),1/((1/AG66)+(1/AL66)+(1/AQ66)+(1/AV66)),AND($C$64="Yes",$C$78="Yes",$C$92="No",$C$50="No"),1/((1/AG66)+(1/AL66)+(1/AQ66)),AND($C$64="Yes",$C$78="No",$C$92="No",$C$50="No"),1/((1/AG66)+(1/AL66)),AND($C$64="No",$C$78="No",$C$92="No",$C$50="No"),1/((1/AG66)),AND($C$64="Yes",$C$78="No",$C$92="No",$C$50="Yes"),1/((1/AG66)+(1/AL66)+(1/BA66)), AND($C$64="No",$C$78="No",$C$92="No",$C$50="Yes"),1/((1/AG66)+(1/BA66)), AND($C$64="No",$C$78="Yes",$C$92="No",$C$50="Yes"),1/((1/AG66)+(1/AQ66)+(1/BA66)))</f>
        <v>49.453627567208883</v>
      </c>
      <c r="AB66" s="28">
        <f t="shared" si="19"/>
        <v>0.79935871743486953</v>
      </c>
      <c r="AD66" s="26">
        <f t="shared" si="21"/>
        <v>50.23830274365384</v>
      </c>
      <c r="AE66" s="27">
        <f t="shared" si="22"/>
        <v>7.8539816339744833E-4</v>
      </c>
      <c r="AF66" s="28">
        <f t="shared" si="23"/>
        <v>0.25</v>
      </c>
      <c r="AG66" s="29">
        <f t="shared" si="20"/>
        <v>50.238139386709513</v>
      </c>
      <c r="AH66" s="11"/>
      <c r="AI66" s="26">
        <f t="shared" si="24"/>
        <v>3315.7279810811528</v>
      </c>
      <c r="AJ66" s="27">
        <f t="shared" si="25"/>
        <v>2.8274333882308137E-5</v>
      </c>
      <c r="AK66" s="29">
        <f t="shared" si="26"/>
        <v>0.125</v>
      </c>
      <c r="AL66" s="29">
        <f t="shared" si="27"/>
        <v>3315.7279551630136</v>
      </c>
      <c r="AN66" s="26">
        <f t="shared" si="28"/>
        <v>26525.823848649223</v>
      </c>
      <c r="AO66" s="27">
        <f t="shared" si="29"/>
        <v>2.2619467105846509E-3</v>
      </c>
      <c r="AP66" s="29">
        <f t="shared" si="30"/>
        <v>10</v>
      </c>
      <c r="AQ66" s="29" t="e">
        <f t="shared" si="31"/>
        <v>#N/A</v>
      </c>
      <c r="AS66" s="26">
        <f t="shared" si="32"/>
        <v>401906.42194923066</v>
      </c>
      <c r="AT66" s="27">
        <f t="shared" si="33"/>
        <v>1.1309733552923255E-3</v>
      </c>
      <c r="AU66" s="29">
        <f t="shared" si="34"/>
        <v>5</v>
      </c>
      <c r="AV66" s="29" t="e">
        <f t="shared" si="35"/>
        <v>#N/A</v>
      </c>
      <c r="AX66" s="26">
        <f t="shared" si="36"/>
        <v>70547.403852790492</v>
      </c>
      <c r="AY66" s="27">
        <f t="shared" si="37"/>
        <v>2.8274333882308137E-5</v>
      </c>
      <c r="AZ66" s="29">
        <f t="shared" si="38"/>
        <v>0.125</v>
      </c>
      <c r="BA66" s="29">
        <f t="shared" si="39"/>
        <v>70547.403824626905</v>
      </c>
      <c r="BC66" s="30"/>
    </row>
    <row r="67" spans="2:61" x14ac:dyDescent="0.3">
      <c r="B67" s="2" t="s">
        <v>101</v>
      </c>
      <c r="C67" s="55">
        <v>0.6</v>
      </c>
      <c r="D67" s="4" t="s">
        <v>5</v>
      </c>
      <c r="Z67" s="22">
        <v>650</v>
      </c>
      <c r="AA67" s="4" cm="1">
        <f t="array" ref="AA67">_xlfn.IFS(AND($C$64="Yes",$C$78="Yes",$C$92="Yes",$C$50="Yes"),1/((1/AG67)+(1/AL67)+(1/AQ67)+(1/AV67)+(1/BA67)),AND($C$64="Yes",$C$78="Yes",$C$92="Yes",$C$50="No"),1/((1/AG67)+(1/AL67)+(1/AQ67)+(1/AV67)),AND($C$64="Yes",$C$78="Yes",$C$92="No",$C$50="No"),1/((1/AG67)+(1/AL67)+(1/AQ67)),AND($C$64="Yes",$C$78="No",$C$92="No",$C$50="No"),1/((1/AG67)+(1/AL67)),AND($C$64="No",$C$78="No",$C$92="No",$C$50="No"),1/((1/AG67)),AND($C$64="Yes",$C$78="No",$C$92="No",$C$50="Yes"),1/((1/AG67)+(1/AL67)+(1/BA67)), AND($C$64="No",$C$78="No",$C$92="No",$C$50="Yes"),1/((1/AG67)+(1/BA67)), AND($C$64="No",$C$78="Yes",$C$92="No",$C$50="Yes"),1/((1/AG67)+(1/AQ67)+(1/BA67)))</f>
        <v>45.64947700210918</v>
      </c>
      <c r="AB67" s="28">
        <f t="shared" si="19"/>
        <v>0.79935871743486953</v>
      </c>
      <c r="AD67" s="26">
        <f t="shared" si="21"/>
        <v>46.373817917218936</v>
      </c>
      <c r="AE67" s="27">
        <f t="shared" si="22"/>
        <v>8.5084801034723562E-4</v>
      </c>
      <c r="AF67" s="28">
        <f t="shared" si="23"/>
        <v>0.25</v>
      </c>
      <c r="AG67" s="29">
        <f t="shared" si="20"/>
        <v>46.373640948300626</v>
      </c>
      <c r="AH67" s="11"/>
      <c r="AI67" s="26">
        <f t="shared" si="24"/>
        <v>3060.6719825364494</v>
      </c>
      <c r="AJ67" s="27">
        <f t="shared" si="25"/>
        <v>3.063052837250048E-5</v>
      </c>
      <c r="AK67" s="29">
        <f t="shared" si="26"/>
        <v>0.125</v>
      </c>
      <c r="AL67" s="29">
        <f t="shared" si="27"/>
        <v>3060.6719544584653</v>
      </c>
      <c r="AN67" s="26">
        <f t="shared" si="28"/>
        <v>24485.375860291595</v>
      </c>
      <c r="AO67" s="27">
        <f t="shared" si="29"/>
        <v>2.4504422698000384E-3</v>
      </c>
      <c r="AP67" s="29">
        <f t="shared" si="30"/>
        <v>10</v>
      </c>
      <c r="AQ67" s="29" t="e">
        <f t="shared" si="31"/>
        <v>#N/A</v>
      </c>
      <c r="AS67" s="26">
        <f t="shared" si="32"/>
        <v>370990.54333775141</v>
      </c>
      <c r="AT67" s="27">
        <f t="shared" si="33"/>
        <v>1.2252211349000192E-3</v>
      </c>
      <c r="AU67" s="29">
        <f t="shared" si="34"/>
        <v>5</v>
      </c>
      <c r="AV67" s="29" t="e">
        <f t="shared" si="35"/>
        <v>#N/A</v>
      </c>
      <c r="AX67" s="26">
        <f t="shared" si="36"/>
        <v>65120.680479498922</v>
      </c>
      <c r="AY67" s="27">
        <f t="shared" si="37"/>
        <v>3.063052837250048E-5</v>
      </c>
      <c r="AZ67" s="29">
        <f t="shared" si="38"/>
        <v>0.125</v>
      </c>
      <c r="BA67" s="29">
        <f t="shared" si="39"/>
        <v>65120.680448988365</v>
      </c>
      <c r="BC67" s="30"/>
    </row>
    <row r="68" spans="2:61" x14ac:dyDescent="0.3">
      <c r="B68" s="2" t="s">
        <v>62</v>
      </c>
      <c r="C68" s="55">
        <v>40</v>
      </c>
      <c r="D68" s="4"/>
      <c r="Z68" s="22">
        <v>700</v>
      </c>
      <c r="AA68" s="4" cm="1">
        <f t="array" ref="AA68">_xlfn.IFS(AND($C$64="Yes",$C$78="Yes",$C$92="Yes",$C$50="Yes"),1/((1/AG68)+(1/AL68)+(1/AQ68)+(1/AV68)+(1/BA68)),AND($C$64="Yes",$C$78="Yes",$C$92="Yes",$C$50="No"),1/((1/AG68)+(1/AL68)+(1/AQ68)+(1/AV68)),AND($C$64="Yes",$C$78="Yes",$C$92="No",$C$50="No"),1/((1/AG68)+(1/AL68)+(1/AQ68)),AND($C$64="Yes",$C$78="No",$C$92="No",$C$50="No"),1/((1/AG68)+(1/AL68)),AND($C$64="No",$C$78="No",$C$92="No",$C$50="No"),1/((1/AG68)),AND($C$64="Yes",$C$78="No",$C$92="No",$C$50="Yes"),1/((1/AG68)+(1/AL68)+(1/BA68)), AND($C$64="No",$C$78="No",$C$92="No",$C$50="Yes"),1/((1/AG68)+(1/BA68)), AND($C$64="No",$C$78="Yes",$C$92="No",$C$50="Yes"),1/((1/AG68)+(1/AQ68)+(1/BA68)))</f>
        <v>42.38877463361591</v>
      </c>
      <c r="AB68" s="28">
        <f t="shared" si="19"/>
        <v>0.79935871743486953</v>
      </c>
      <c r="AD68" s="26">
        <f t="shared" si="21"/>
        <v>43.061402351703286</v>
      </c>
      <c r="AE68" s="27">
        <f t="shared" si="22"/>
        <v>9.1629785729702303E-4</v>
      </c>
      <c r="AF68" s="28">
        <f t="shared" si="23"/>
        <v>0.25</v>
      </c>
      <c r="AG68" s="29">
        <f t="shared" si="20"/>
        <v>43.061211771076124</v>
      </c>
      <c r="AH68" s="11"/>
      <c r="AI68" s="26">
        <f t="shared" si="24"/>
        <v>2842.0525552124168</v>
      </c>
      <c r="AJ68" s="27">
        <f t="shared" si="25"/>
        <v>3.2986722862692825E-5</v>
      </c>
      <c r="AK68" s="29">
        <f t="shared" si="26"/>
        <v>0.125</v>
      </c>
      <c r="AL68" s="29">
        <f t="shared" si="27"/>
        <v>2842.0525249745874</v>
      </c>
      <c r="AN68" s="26">
        <f t="shared" si="28"/>
        <v>22736.420441699334</v>
      </c>
      <c r="AO68" s="27">
        <f t="shared" si="29"/>
        <v>2.6389378290154258E-3</v>
      </c>
      <c r="AP68" s="29">
        <f t="shared" si="30"/>
        <v>10</v>
      </c>
      <c r="AQ68" s="29" t="e">
        <f t="shared" si="31"/>
        <v>#N/A</v>
      </c>
      <c r="AS68" s="26">
        <f t="shared" si="32"/>
        <v>344491.21881362633</v>
      </c>
      <c r="AT68" s="27">
        <f t="shared" si="33"/>
        <v>1.3194689145077129E-3</v>
      </c>
      <c r="AU68" s="29">
        <f t="shared" si="34"/>
        <v>5</v>
      </c>
      <c r="AV68" s="29" t="e">
        <f t="shared" si="35"/>
        <v>#N/A</v>
      </c>
      <c r="AX68" s="26">
        <f t="shared" si="36"/>
        <v>60469.203302391841</v>
      </c>
      <c r="AY68" s="27">
        <f t="shared" si="37"/>
        <v>3.2986722862692825E-5</v>
      </c>
      <c r="AZ68" s="29">
        <f t="shared" si="38"/>
        <v>0.125</v>
      </c>
      <c r="BA68" s="29">
        <f t="shared" si="39"/>
        <v>60469.203269534315</v>
      </c>
      <c r="BC68" s="30"/>
      <c r="BD68" s="11"/>
      <c r="BI68" s="11"/>
    </row>
    <row r="69" spans="2:61" x14ac:dyDescent="0.3">
      <c r="B69" s="2" t="s">
        <v>63</v>
      </c>
      <c r="C69" s="43">
        <f>C68*$C$32</f>
        <v>80</v>
      </c>
      <c r="D69" s="4"/>
      <c r="Z69" s="22">
        <v>750</v>
      </c>
      <c r="AA69" s="4" cm="1">
        <f t="array" ref="AA69">_xlfn.IFS(AND($C$64="Yes",$C$78="Yes",$C$92="Yes",$C$50="Yes"),1/((1/AG69)+(1/AL69)+(1/AQ69)+(1/AV69)+(1/BA69)),AND($C$64="Yes",$C$78="Yes",$C$92="Yes",$C$50="No"),1/((1/AG69)+(1/AL69)+(1/AQ69)+(1/AV69)),AND($C$64="Yes",$C$78="Yes",$C$92="No",$C$50="No"),1/((1/AG69)+(1/AL69)+(1/AQ69)),AND($C$64="Yes",$C$78="No",$C$92="No",$C$50="No"),1/((1/AG69)+(1/AL69)),AND($C$64="No",$C$78="No",$C$92="No",$C$50="No"),1/((1/AG69)),AND($C$64="Yes",$C$78="No",$C$92="No",$C$50="Yes"),1/((1/AG69)+(1/AL69)+(1/BA69)), AND($C$64="No",$C$78="No",$C$92="No",$C$50="Yes"),1/((1/AG69)+(1/BA69)), AND($C$64="No",$C$78="Yes",$C$92="No",$C$50="Yes"),1/((1/AG69)+(1/AQ69)+(1/BA69)))</f>
        <v>39.562830822478865</v>
      </c>
      <c r="AB69" s="28">
        <f t="shared" si="19"/>
        <v>0.79935871743486953</v>
      </c>
      <c r="AD69" s="26">
        <f t="shared" si="21"/>
        <v>40.190642194923072</v>
      </c>
      <c r="AE69" s="27">
        <f t="shared" si="22"/>
        <v>9.8174770424681022E-4</v>
      </c>
      <c r="AF69" s="28">
        <f t="shared" si="23"/>
        <v>0.25</v>
      </c>
      <c r="AG69" s="29">
        <f t="shared" si="20"/>
        <v>40.19043800287259</v>
      </c>
      <c r="AH69" s="11"/>
      <c r="AI69" s="26">
        <f t="shared" si="24"/>
        <v>2652.5823848649225</v>
      </c>
      <c r="AJ69" s="27">
        <f t="shared" si="25"/>
        <v>3.5342917352885171E-5</v>
      </c>
      <c r="AK69" s="29">
        <f t="shared" si="26"/>
        <v>0.125</v>
      </c>
      <c r="AL69" s="29">
        <f t="shared" si="27"/>
        <v>2652.5823524672483</v>
      </c>
      <c r="AN69" s="26">
        <f t="shared" si="28"/>
        <v>21220.65907891938</v>
      </c>
      <c r="AO69" s="27">
        <f t="shared" si="29"/>
        <v>2.8274333882308137E-3</v>
      </c>
      <c r="AP69" s="29">
        <f t="shared" si="30"/>
        <v>10</v>
      </c>
      <c r="AQ69" s="29" t="e">
        <f t="shared" si="31"/>
        <v>#N/A</v>
      </c>
      <c r="AS69" s="26">
        <f t="shared" si="32"/>
        <v>321525.13755938457</v>
      </c>
      <c r="AT69" s="27">
        <f t="shared" si="33"/>
        <v>1.4137166941154068E-3</v>
      </c>
      <c r="AU69" s="29">
        <f t="shared" si="34"/>
        <v>5</v>
      </c>
      <c r="AV69" s="29" t="e">
        <f t="shared" si="35"/>
        <v>#N/A</v>
      </c>
      <c r="AX69" s="26">
        <f t="shared" si="36"/>
        <v>56437.923082232395</v>
      </c>
      <c r="AY69" s="27">
        <f t="shared" si="37"/>
        <v>3.5342917352885171E-5</v>
      </c>
      <c r="AZ69" s="29">
        <f t="shared" si="38"/>
        <v>0.125</v>
      </c>
      <c r="BA69" s="29">
        <f t="shared" si="39"/>
        <v>56437.9230470279</v>
      </c>
      <c r="BC69" s="30"/>
      <c r="BD69" s="11"/>
      <c r="BE69" s="11"/>
      <c r="BH69" s="11"/>
      <c r="BI69" s="11"/>
    </row>
    <row r="70" spans="2:61" ht="15.6" x14ac:dyDescent="0.35">
      <c r="B70" s="2" t="s">
        <v>169</v>
      </c>
      <c r="C70" s="43">
        <f>C65*$C$69</f>
        <v>80</v>
      </c>
      <c r="D70" s="10" t="s">
        <v>8</v>
      </c>
      <c r="Z70" s="22">
        <v>800</v>
      </c>
      <c r="AA70" s="4" cm="1">
        <f t="array" ref="AA70">_xlfn.IFS(AND($C$64="Yes",$C$78="Yes",$C$92="Yes",$C$50="Yes"),1/((1/AG70)+(1/AL70)+(1/AQ70)+(1/AV70)+(1/BA70)),AND($C$64="Yes",$C$78="Yes",$C$92="Yes",$C$50="No"),1/((1/AG70)+(1/AL70)+(1/AQ70)+(1/AV70)),AND($C$64="Yes",$C$78="Yes",$C$92="No",$C$50="No"),1/((1/AG70)+(1/AL70)+(1/AQ70)),AND($C$64="Yes",$C$78="No",$C$92="No",$C$50="No"),1/((1/AG70)+(1/AL70)),AND($C$64="No",$C$78="No",$C$92="No",$C$50="No"),1/((1/AG70)),AND($C$64="Yes",$C$78="No",$C$92="No",$C$50="Yes"),1/((1/AG70)+(1/AL70)+(1/BA70)), AND($C$64="No",$C$78="No",$C$92="No",$C$50="Yes"),1/((1/AG70)+(1/BA70)), AND($C$64="No",$C$78="Yes",$C$92="No",$C$50="Yes"),1/((1/AG70)+(1/AQ70)+(1/BA70)))</f>
        <v>37.090128339265284</v>
      </c>
      <c r="AB70" s="28">
        <f t="shared" si="19"/>
        <v>0.79935871743486953</v>
      </c>
      <c r="AD70" s="26">
        <f t="shared" si="21"/>
        <v>37.678727057740375</v>
      </c>
      <c r="AE70" s="27">
        <f t="shared" si="22"/>
        <v>1.0471975511965978E-3</v>
      </c>
      <c r="AF70" s="28">
        <f t="shared" si="23"/>
        <v>0.25</v>
      </c>
      <c r="AG70" s="29">
        <f t="shared" si="20"/>
        <v>37.678509254572496</v>
      </c>
      <c r="AH70" s="11"/>
      <c r="AI70" s="26">
        <f t="shared" si="24"/>
        <v>2486.7959858108647</v>
      </c>
      <c r="AJ70" s="27">
        <f t="shared" si="25"/>
        <v>3.7699111843077517E-5</v>
      </c>
      <c r="AK70" s="29">
        <f t="shared" si="26"/>
        <v>0.125</v>
      </c>
      <c r="AL70" s="29">
        <f t="shared" si="27"/>
        <v>2486.7959512533457</v>
      </c>
      <c r="AN70" s="26">
        <f t="shared" si="28"/>
        <v>19894.367886486918</v>
      </c>
      <c r="AO70" s="27">
        <f t="shared" si="29"/>
        <v>3.0159289474462015E-3</v>
      </c>
      <c r="AP70" s="29">
        <f t="shared" si="30"/>
        <v>10</v>
      </c>
      <c r="AQ70" s="29" t="e">
        <f t="shared" si="31"/>
        <v>#N/A</v>
      </c>
      <c r="AS70" s="26">
        <f t="shared" si="32"/>
        <v>301429.81646192301</v>
      </c>
      <c r="AT70" s="27">
        <f t="shared" si="33"/>
        <v>1.5079644737231008E-3</v>
      </c>
      <c r="AU70" s="29">
        <f t="shared" si="34"/>
        <v>5</v>
      </c>
      <c r="AV70" s="29" t="e">
        <f t="shared" si="35"/>
        <v>#N/A</v>
      </c>
      <c r="AX70" s="26">
        <f t="shared" si="36"/>
        <v>52910.552889592866</v>
      </c>
      <c r="AY70" s="27">
        <f t="shared" si="37"/>
        <v>3.7699111843077517E-5</v>
      </c>
      <c r="AZ70" s="29">
        <f t="shared" si="38"/>
        <v>0.125</v>
      </c>
      <c r="BA70" s="29">
        <f t="shared" si="39"/>
        <v>52910.552852041408</v>
      </c>
      <c r="BC70" s="30"/>
      <c r="BD70" s="11"/>
      <c r="BE70" s="11"/>
      <c r="BH70" s="11"/>
      <c r="BI70" s="11"/>
    </row>
    <row r="71" spans="2:61" x14ac:dyDescent="0.3">
      <c r="B71" s="2" t="s">
        <v>117</v>
      </c>
      <c r="C71" s="47">
        <f>C66/$C$69</f>
        <v>0.125</v>
      </c>
      <c r="D71" s="4" t="s">
        <v>21</v>
      </c>
      <c r="Z71" s="22">
        <v>850</v>
      </c>
      <c r="AA71" s="4" cm="1">
        <f t="array" ref="AA71">_xlfn.IFS(AND($C$64="Yes",$C$78="Yes",$C$92="Yes",$C$50="Yes"),1/((1/AG71)+(1/AL71)+(1/AQ71)+(1/AV71)+(1/BA71)),AND($C$64="Yes",$C$78="Yes",$C$92="Yes",$C$50="No"),1/((1/AG71)+(1/AL71)+(1/AQ71)+(1/AV71)),AND($C$64="Yes",$C$78="Yes",$C$92="No",$C$50="No"),1/((1/AG71)+(1/AL71)+(1/AQ71)),AND($C$64="Yes",$C$78="No",$C$92="No",$C$50="No"),1/((1/AG71)+(1/AL71)),AND($C$64="No",$C$78="No",$C$92="No",$C$50="No"),1/((1/AG71)),AND($C$64="Yes",$C$78="No",$C$92="No",$C$50="Yes"),1/((1/AG71)+(1/AL71)+(1/BA71)), AND($C$64="No",$C$78="No",$C$92="No",$C$50="Yes"),1/((1/AG71)+(1/BA71)), AND($C$64="No",$C$78="Yes",$C$92="No",$C$50="Yes"),1/((1/AG71)+(1/AQ71)+(1/BA71)))</f>
        <v>34.908330479119471</v>
      </c>
      <c r="AB71" s="28">
        <f t="shared" si="19"/>
        <v>0.79935871743486953</v>
      </c>
      <c r="AD71" s="26">
        <f t="shared" si="21"/>
        <v>35.462331348461532</v>
      </c>
      <c r="AE71" s="27">
        <f t="shared" si="22"/>
        <v>1.112647398146385E-3</v>
      </c>
      <c r="AF71" s="28">
        <f t="shared" si="23"/>
        <v>0.25</v>
      </c>
      <c r="AG71" s="29">
        <f t="shared" si="20"/>
        <v>35.462099934502575</v>
      </c>
      <c r="AH71" s="11"/>
      <c r="AI71" s="26">
        <f t="shared" si="24"/>
        <v>2340.513868998461</v>
      </c>
      <c r="AJ71" s="27">
        <f t="shared" si="25"/>
        <v>4.0055306333269862E-5</v>
      </c>
      <c r="AK71" s="29">
        <f t="shared" si="26"/>
        <v>0.125</v>
      </c>
      <c r="AL71" s="29">
        <f t="shared" si="27"/>
        <v>2340.5138322810972</v>
      </c>
      <c r="AN71" s="26">
        <f t="shared" si="28"/>
        <v>18724.110951987688</v>
      </c>
      <c r="AO71" s="27">
        <f t="shared" si="29"/>
        <v>3.2044245066615885E-3</v>
      </c>
      <c r="AP71" s="29">
        <f t="shared" si="30"/>
        <v>10</v>
      </c>
      <c r="AQ71" s="29" t="e">
        <f t="shared" si="31"/>
        <v>#N/A</v>
      </c>
      <c r="AS71" s="26">
        <f t="shared" si="32"/>
        <v>283698.65078769223</v>
      </c>
      <c r="AT71" s="27">
        <f t="shared" si="33"/>
        <v>1.6022122533307943E-3</v>
      </c>
      <c r="AU71" s="29">
        <f t="shared" si="34"/>
        <v>5</v>
      </c>
      <c r="AV71" s="29" t="e">
        <f t="shared" si="35"/>
        <v>#N/A</v>
      </c>
      <c r="AX71" s="26">
        <f t="shared" si="36"/>
        <v>49798.167425499174</v>
      </c>
      <c r="AY71" s="27">
        <f t="shared" si="37"/>
        <v>4.0055306333269862E-5</v>
      </c>
      <c r="AZ71" s="29">
        <f t="shared" si="38"/>
        <v>0.125</v>
      </c>
      <c r="BA71" s="29">
        <f t="shared" si="39"/>
        <v>49798.167385600755</v>
      </c>
      <c r="BC71" s="30"/>
      <c r="BD71" s="11"/>
      <c r="BE71" s="11"/>
      <c r="BH71" s="11"/>
      <c r="BI71" s="11"/>
    </row>
    <row r="72" spans="2:61" x14ac:dyDescent="0.3">
      <c r="B72" s="2" t="s">
        <v>116</v>
      </c>
      <c r="C72" s="47">
        <f>C67/$C$69</f>
        <v>7.4999999999999997E-3</v>
      </c>
      <c r="D72" s="4" t="s">
        <v>5</v>
      </c>
      <c r="Z72" s="22">
        <v>900</v>
      </c>
      <c r="AA72" s="4" cm="1">
        <f t="array" ref="AA72">_xlfn.IFS(AND($C$64="Yes",$C$78="Yes",$C$92="Yes",$C$50="Yes"),1/((1/AG72)+(1/AL72)+(1/AQ72)+(1/AV72)+(1/BA72)),AND($C$64="Yes",$C$78="Yes",$C$92="Yes",$C$50="No"),1/((1/AG72)+(1/AL72)+(1/AQ72)+(1/AV72)),AND($C$64="Yes",$C$78="Yes",$C$92="No",$C$50="No"),1/((1/AG72)+(1/AL72)+(1/AQ72)),AND($C$64="Yes",$C$78="No",$C$92="No",$C$50="No"),1/((1/AG72)+(1/AL72)),AND($C$64="No",$C$78="No",$C$92="No",$C$50="No"),1/((1/AG72)),AND($C$64="Yes",$C$78="No",$C$92="No",$C$50="Yes"),1/((1/AG72)+(1/AL72)+(1/BA72)), AND($C$64="No",$C$78="No",$C$92="No",$C$50="Yes"),1/((1/AG72)+(1/BA72)), AND($C$64="No",$C$78="Yes",$C$92="No",$C$50="Yes"),1/((1/AG72)+(1/AQ72)+(1/BA72)))</f>
        <v>32.968953138269178</v>
      </c>
      <c r="AB72" s="28">
        <f t="shared" si="19"/>
        <v>0.79935871743486953</v>
      </c>
      <c r="AD72" s="26">
        <f t="shared" si="21"/>
        <v>33.492201829102555</v>
      </c>
      <c r="AE72" s="27">
        <f t="shared" si="22"/>
        <v>1.1780972450961724E-3</v>
      </c>
      <c r="AF72" s="28">
        <f t="shared" si="23"/>
        <v>0.25</v>
      </c>
      <c r="AG72" s="29">
        <f t="shared" si="20"/>
        <v>33.491956804699242</v>
      </c>
      <c r="AH72" s="11"/>
      <c r="AI72" s="26">
        <f t="shared" si="24"/>
        <v>2210.4853207207689</v>
      </c>
      <c r="AJ72" s="27">
        <f t="shared" si="25"/>
        <v>4.2411500823462208E-5</v>
      </c>
      <c r="AK72" s="29">
        <f t="shared" si="26"/>
        <v>0.125</v>
      </c>
      <c r="AL72" s="29">
        <f t="shared" si="27"/>
        <v>2210.4852818435597</v>
      </c>
      <c r="AN72" s="26">
        <f t="shared" si="28"/>
        <v>17683.882565766151</v>
      </c>
      <c r="AO72" s="27">
        <f t="shared" si="29"/>
        <v>3.3929200658769764E-3</v>
      </c>
      <c r="AP72" s="29">
        <f t="shared" si="30"/>
        <v>10</v>
      </c>
      <c r="AQ72" s="29" t="e">
        <f t="shared" si="31"/>
        <v>#N/A</v>
      </c>
      <c r="AS72" s="26">
        <f t="shared" si="32"/>
        <v>267937.61463282048</v>
      </c>
      <c r="AT72" s="27">
        <f t="shared" si="33"/>
        <v>1.6964600329384882E-3</v>
      </c>
      <c r="AU72" s="29">
        <f t="shared" si="34"/>
        <v>5</v>
      </c>
      <c r="AV72" s="29" t="e">
        <f t="shared" si="35"/>
        <v>#N/A</v>
      </c>
      <c r="AX72" s="26">
        <f t="shared" si="36"/>
        <v>47031.602568527</v>
      </c>
      <c r="AY72" s="27">
        <f t="shared" si="37"/>
        <v>4.2411500823462208E-5</v>
      </c>
      <c r="AZ72" s="29">
        <f t="shared" si="38"/>
        <v>0.125</v>
      </c>
      <c r="BA72" s="29">
        <f t="shared" si="39"/>
        <v>47031.602526281611</v>
      </c>
      <c r="BC72" s="30"/>
      <c r="BD72" s="11"/>
      <c r="BE72" s="11"/>
      <c r="BH72" s="11"/>
      <c r="BI72" s="11"/>
    </row>
    <row r="73" spans="2:61" x14ac:dyDescent="0.3">
      <c r="B73" s="2" t="s">
        <v>109</v>
      </c>
      <c r="C73" s="47">
        <f>(1/(2*PI()*(SQRT($C$65*0.000001*$C$67*0.000000001))))*0.000001</f>
        <v>6.4974733436139678</v>
      </c>
      <c r="D73" s="4" t="s">
        <v>87</v>
      </c>
      <c r="Z73" s="22">
        <v>950</v>
      </c>
      <c r="AA73" s="4" cm="1">
        <f t="array" ref="AA73">_xlfn.IFS(AND($C$64="Yes",$C$78="Yes",$C$92="Yes",$C$50="Yes"),1/((1/AG73)+(1/AL73)+(1/AQ73)+(1/AV73)+(1/BA73)),AND($C$64="Yes",$C$78="Yes",$C$92="Yes",$C$50="No"),1/((1/AG73)+(1/AL73)+(1/AQ73)+(1/AV73)),AND($C$64="Yes",$C$78="Yes",$C$92="No",$C$50="No"),1/((1/AG73)+(1/AL73)+(1/AQ73)),AND($C$64="Yes",$C$78="No",$C$92="No",$C$50="No"),1/((1/AG73)+(1/AL73)),AND($C$64="No",$C$78="No",$C$92="No",$C$50="No"),1/((1/AG73)),AND($C$64="Yes",$C$78="No",$C$92="No",$C$50="Yes"),1/((1/AG73)+(1/AL73)+(1/BA73)), AND($C$64="No",$C$78="No",$C$92="No",$C$50="Yes"),1/((1/AG73)+(1/BA73)), AND($C$64="No",$C$78="Yes",$C$92="No",$C$50="Yes"),1/((1/AG73)+(1/AQ73)+(1/BA73)))</f>
        <v>31.233719392687789</v>
      </c>
      <c r="AB73" s="28">
        <f t="shared" si="19"/>
        <v>0.79935871743486953</v>
      </c>
      <c r="AD73" s="26">
        <f t="shared" si="21"/>
        <v>31.729454364412948</v>
      </c>
      <c r="AE73" s="27">
        <f t="shared" si="22"/>
        <v>1.2435470920459598E-3</v>
      </c>
      <c r="AF73" s="28">
        <f t="shared" si="23"/>
        <v>0.25</v>
      </c>
      <c r="AG73" s="29">
        <f>SQRT(AF73^(2)+ABS(AD73-AE73)^(2))</f>
        <v>31.729195729932382</v>
      </c>
      <c r="AH73" s="11"/>
      <c r="AI73" s="26">
        <f t="shared" si="24"/>
        <v>2094.1439880512544</v>
      </c>
      <c r="AJ73" s="27">
        <f t="shared" si="25"/>
        <v>4.4767695313654553E-5</v>
      </c>
      <c r="AK73" s="29">
        <f t="shared" si="26"/>
        <v>0.125</v>
      </c>
      <c r="AL73" s="29">
        <f t="shared" si="27"/>
        <v>2094.1439470142004</v>
      </c>
      <c r="AN73" s="26">
        <f t="shared" si="28"/>
        <v>16753.151904410035</v>
      </c>
      <c r="AO73" s="27">
        <f t="shared" si="29"/>
        <v>3.5814156250923643E-3</v>
      </c>
      <c r="AP73" s="29">
        <f t="shared" si="30"/>
        <v>10</v>
      </c>
      <c r="AQ73" s="29" t="e">
        <f t="shared" si="31"/>
        <v>#N/A</v>
      </c>
      <c r="AS73" s="26">
        <f t="shared" si="32"/>
        <v>253835.63491530356</v>
      </c>
      <c r="AT73" s="27">
        <f t="shared" si="33"/>
        <v>1.7907078125461821E-3</v>
      </c>
      <c r="AU73" s="29">
        <f t="shared" si="34"/>
        <v>5</v>
      </c>
      <c r="AV73" s="29" t="e">
        <f t="shared" si="35"/>
        <v>#N/A</v>
      </c>
      <c r="AX73" s="26">
        <f t="shared" si="36"/>
        <v>44556.255064920304</v>
      </c>
      <c r="AY73" s="27">
        <f t="shared" si="37"/>
        <v>4.4767695313654553E-5</v>
      </c>
      <c r="AZ73" s="29">
        <f t="shared" si="38"/>
        <v>0.125</v>
      </c>
      <c r="BA73" s="29">
        <f t="shared" si="39"/>
        <v>44556.255020327946</v>
      </c>
      <c r="BB73" s="11"/>
      <c r="BE73" s="11"/>
      <c r="BF73" s="11"/>
    </row>
    <row r="74" spans="2:61" x14ac:dyDescent="0.3">
      <c r="B74" s="2" t="s">
        <v>430</v>
      </c>
      <c r="C74" s="47">
        <f>1000/(2*PI()*$C$33*1000*C70*0.000001)</f>
        <v>3.9788735772973838</v>
      </c>
      <c r="D74" s="4" t="s">
        <v>425</v>
      </c>
      <c r="Z74" s="22">
        <v>1000</v>
      </c>
      <c r="AA74" s="4" cm="1">
        <f t="array" ref="AA74">_xlfn.IFS(AND($C$64="Yes",$C$78="Yes",$C$92="Yes",$C$50="Yes"),1/((1/AG74)+(1/AL74)+(1/AQ74)+(1/AV74)+(1/BA74)),AND($C$64="Yes",$C$78="Yes",$C$92="Yes",$C$50="No"),1/((1/AG74)+(1/AL74)+(1/AQ74)+(1/AV74)),AND($C$64="Yes",$C$78="Yes",$C$92="No",$C$50="No"),1/((1/AG74)+(1/AL74)+(1/AQ74)),AND($C$64="Yes",$C$78="No",$C$92="No",$C$50="No"),1/((1/AG74)+(1/AL74)),AND($C$64="No",$C$78="No",$C$92="No",$C$50="No"),1/((1/AG74)),AND($C$64="Yes",$C$78="No",$C$92="No",$C$50="Yes"),1/((1/AG74)+(1/AL74)+(1/BA74)), AND($C$64="No",$C$78="No",$C$92="No",$C$50="Yes"),1/((1/AG74)+(1/BA74)), AND($C$64="No",$C$78="Yes",$C$92="No",$C$50="Yes"),1/((1/AG74)+(1/AQ74)+(1/BA74)))</f>
        <v>29.672007703158027</v>
      </c>
      <c r="AB74" s="28">
        <f t="shared" si="19"/>
        <v>0.79935871743486953</v>
      </c>
      <c r="AD74" s="26">
        <f t="shared" si="21"/>
        <v>30.142981646192304</v>
      </c>
      <c r="AE74" s="27">
        <f t="shared" si="22"/>
        <v>1.3089969389957472E-3</v>
      </c>
      <c r="AF74" s="28">
        <f t="shared" si="23"/>
        <v>0.25</v>
      </c>
      <c r="AG74" s="29">
        <f>SQRT(AF74^(2)+ABS(AD74-AE74)^(2))</f>
        <v>30.142709402021993</v>
      </c>
      <c r="AH74" s="11"/>
      <c r="AI74" s="26">
        <f t="shared" si="24"/>
        <v>1989.4367886486921</v>
      </c>
      <c r="AJ74" s="27">
        <f t="shared" si="25"/>
        <v>4.7123889803846892E-5</v>
      </c>
      <c r="AK74" s="29">
        <f t="shared" si="26"/>
        <v>0.125</v>
      </c>
      <c r="AL74" s="29">
        <f t="shared" si="27"/>
        <v>1989.4367454517933</v>
      </c>
      <c r="AN74" s="26">
        <f t="shared" si="28"/>
        <v>15915.494309189537</v>
      </c>
      <c r="AO74" s="27">
        <f t="shared" si="29"/>
        <v>3.7699111843077517E-3</v>
      </c>
      <c r="AP74" s="29">
        <f t="shared" si="30"/>
        <v>10</v>
      </c>
      <c r="AQ74" s="29" t="e">
        <f t="shared" si="31"/>
        <v>#N/A</v>
      </c>
      <c r="AS74" s="26">
        <f t="shared" si="32"/>
        <v>241143.85316953843</v>
      </c>
      <c r="AT74" s="27">
        <f t="shared" si="33"/>
        <v>1.8849555921538759E-3</v>
      </c>
      <c r="AU74" s="29">
        <f t="shared" si="34"/>
        <v>5</v>
      </c>
      <c r="AV74" s="29" t="e">
        <f t="shared" si="35"/>
        <v>#N/A</v>
      </c>
      <c r="AX74" s="26">
        <f t="shared" si="36"/>
        <v>42328.442311674298</v>
      </c>
      <c r="AY74" s="27">
        <f t="shared" si="37"/>
        <v>4.7123889803846892E-5</v>
      </c>
      <c r="AZ74" s="29">
        <f t="shared" si="38"/>
        <v>0.125</v>
      </c>
      <c r="BA74" s="29">
        <f t="shared" si="39"/>
        <v>42328.442264734978</v>
      </c>
      <c r="BB74" s="11"/>
      <c r="BE74" s="11"/>
      <c r="BF74" s="11"/>
    </row>
    <row r="75" spans="2:61" x14ac:dyDescent="0.3">
      <c r="B75" s="2" t="s">
        <v>431</v>
      </c>
      <c r="C75" s="47">
        <f>2*PI()*C72*0.000000001*$C$33*1000*1000</f>
        <v>2.356194490192345E-2</v>
      </c>
      <c r="D75" s="4" t="s">
        <v>425</v>
      </c>
      <c r="Z75" s="22">
        <v>1500</v>
      </c>
      <c r="AA75" s="4" cm="1">
        <f t="array" ref="AA75">_xlfn.IFS(AND($C$64="Yes",$C$78="Yes",$C$92="Yes",$C$50="Yes"),1/((1/AG75)+(1/AL75)+(1/AQ75)+(1/AV75)+(1/BA75)),AND($C$64="Yes",$C$78="Yes",$C$92="Yes",$C$50="No"),1/((1/AG75)+(1/AL75)+(1/AQ75)+(1/AV75)),AND($C$64="Yes",$C$78="Yes",$C$92="No",$C$50="No"),1/((1/AG75)+(1/AL75)+(1/AQ75)),AND($C$64="Yes",$C$78="No",$C$92="No",$C$50="No"),1/((1/AG75)+(1/AL75)),AND($C$64="No",$C$78="No",$C$92="No",$C$50="No"),1/((1/AG75)),AND($C$64="Yes",$C$78="No",$C$92="No",$C$50="Yes"),1/((1/AG75)+(1/AL75)+(1/BA75)), AND($C$64="No",$C$78="No",$C$92="No",$C$50="Yes"),1/((1/AG75)+(1/BA75)), AND($C$64="No",$C$78="Yes",$C$92="No",$C$50="Yes"),1/((1/AG75)+(1/AQ75)+(1/BA75)))</f>
        <v>19.781118670154893</v>
      </c>
      <c r="AB75" s="28">
        <f t="shared" si="19"/>
        <v>0.79935871743486953</v>
      </c>
      <c r="AD75" s="26">
        <f t="shared" si="21"/>
        <v>20.095321097461536</v>
      </c>
      <c r="AE75" s="27">
        <f t="shared" si="22"/>
        <v>1.9634954084936204E-3</v>
      </c>
      <c r="AF75" s="28">
        <f t="shared" si="23"/>
        <v>0.25</v>
      </c>
      <c r="AG75" s="29">
        <f>SQRT(AF75^(2)+ABS(AD75-AE75)^(2))</f>
        <v>20.094912782193976</v>
      </c>
      <c r="AH75" s="11"/>
      <c r="AI75" s="26">
        <f t="shared" si="24"/>
        <v>1326.2911924324612</v>
      </c>
      <c r="AJ75" s="27">
        <f t="shared" si="25"/>
        <v>7.0685834705770342E-5</v>
      </c>
      <c r="AK75" s="29">
        <f t="shared" si="26"/>
        <v>0.125</v>
      </c>
      <c r="AL75" s="29">
        <f t="shared" si="27"/>
        <v>1326.291127637113</v>
      </c>
      <c r="AN75" s="26">
        <f t="shared" si="28"/>
        <v>10610.32953945969</v>
      </c>
      <c r="AO75" s="27">
        <f t="shared" si="29"/>
        <v>5.6548667764616273E-3</v>
      </c>
      <c r="AP75" s="29">
        <f t="shared" si="30"/>
        <v>10</v>
      </c>
      <c r="AQ75" s="29" t="e">
        <f t="shared" si="31"/>
        <v>#N/A</v>
      </c>
      <c r="AS75" s="26">
        <f t="shared" si="32"/>
        <v>160762.56877969229</v>
      </c>
      <c r="AT75" s="27">
        <f t="shared" si="33"/>
        <v>2.8274333882308137E-3</v>
      </c>
      <c r="AU75" s="29">
        <f t="shared" si="34"/>
        <v>5</v>
      </c>
      <c r="AV75" s="29" t="e">
        <f t="shared" si="35"/>
        <v>#N/A</v>
      </c>
      <c r="AX75" s="26">
        <f t="shared" si="36"/>
        <v>28218.961541116198</v>
      </c>
      <c r="AY75" s="27">
        <f t="shared" si="37"/>
        <v>7.0685834705770342E-5</v>
      </c>
      <c r="AZ75" s="29">
        <f t="shared" si="38"/>
        <v>0.125</v>
      </c>
      <c r="BA75" s="29">
        <f t="shared" si="39"/>
        <v>28218.961470707218</v>
      </c>
      <c r="BB75" s="11"/>
      <c r="BE75" s="11"/>
      <c r="BF75" s="11"/>
    </row>
    <row r="76" spans="2:61" x14ac:dyDescent="0.3">
      <c r="B76" s="2" t="s">
        <v>438</v>
      </c>
      <c r="C76" s="47">
        <f>SQRT(C71^(2)+ABS(C74-C75)^(2))</f>
        <v>3.9572863314856104</v>
      </c>
      <c r="D76" s="4" t="s">
        <v>425</v>
      </c>
      <c r="Z76" s="22">
        <v>2000</v>
      </c>
      <c r="AA76" s="4" cm="1">
        <f t="array" ref="AA76">_xlfn.IFS(AND($C$64="Yes",$C$78="Yes",$C$92="Yes",$C$50="Yes"),1/((1/AG76)+(1/AL76)+(1/AQ76)+(1/AV76)+(1/BA76)),AND($C$64="Yes",$C$78="Yes",$C$92="Yes",$C$50="No"),1/((1/AG76)+(1/AL76)+(1/AQ76)+(1/AV76)),AND($C$64="Yes",$C$78="Yes",$C$92="No",$C$50="No"),1/((1/AG76)+(1/AL76)+(1/AQ76)),AND($C$64="Yes",$C$78="No",$C$92="No",$C$50="No"),1/((1/AG76)+(1/AL76)),AND($C$64="No",$C$78="No",$C$92="No",$C$50="No"),1/((1/AG76)),AND($C$64="Yes",$C$78="No",$C$92="No",$C$50="Yes"),1/((1/AG76)+(1/AL76)+(1/BA76)), AND($C$64="No",$C$78="No",$C$92="No",$C$50="Yes"),1/((1/AG76)+(1/BA76)), AND($C$64="No",$C$78="Yes",$C$92="No",$C$50="Yes"),1/((1/AG76)+(1/AQ76)+(1/BA76)))</f>
        <v>14.835608283144644</v>
      </c>
      <c r="AB76" s="28">
        <f t="shared" si="19"/>
        <v>0.79935871743486953</v>
      </c>
      <c r="AD76" s="26">
        <f t="shared" si="21"/>
        <v>15.071490823096152</v>
      </c>
      <c r="AE76" s="27">
        <f t="shared" si="22"/>
        <v>2.6179938779914945E-3</v>
      </c>
      <c r="AF76" s="28">
        <f t="shared" si="23"/>
        <v>0.25</v>
      </c>
      <c r="AG76" s="29">
        <f>SQRT(AF76^(2)+ABS(AD76-AE76)^(2))</f>
        <v>15.07094649791941</v>
      </c>
      <c r="AH76" s="11"/>
      <c r="AI76" s="26">
        <f t="shared" si="24"/>
        <v>994.71839432434604</v>
      </c>
      <c r="AJ76" s="27">
        <f t="shared" si="25"/>
        <v>9.4247779607693785E-5</v>
      </c>
      <c r="AK76" s="29">
        <f t="shared" si="26"/>
        <v>0.125</v>
      </c>
      <c r="AL76" s="29">
        <f t="shared" si="27"/>
        <v>994.71830793054869</v>
      </c>
      <c r="AN76" s="26">
        <f t="shared" si="28"/>
        <v>7957.7471545947683</v>
      </c>
      <c r="AO76" s="27">
        <f t="shared" si="29"/>
        <v>7.5398223686155034E-3</v>
      </c>
      <c r="AP76" s="29">
        <f t="shared" si="30"/>
        <v>10</v>
      </c>
      <c r="AQ76" s="29" t="e">
        <f t="shared" si="31"/>
        <v>#N/A</v>
      </c>
      <c r="AS76" s="26">
        <f t="shared" si="32"/>
        <v>120571.92658476921</v>
      </c>
      <c r="AT76" s="27">
        <f t="shared" si="33"/>
        <v>3.7699111843077517E-3</v>
      </c>
      <c r="AU76" s="29">
        <f t="shared" si="34"/>
        <v>5</v>
      </c>
      <c r="AV76" s="29" t="e">
        <f t="shared" si="35"/>
        <v>#N/A</v>
      </c>
      <c r="AX76" s="26">
        <f t="shared" si="36"/>
        <v>21164.221155837149</v>
      </c>
      <c r="AY76" s="27">
        <f t="shared" si="37"/>
        <v>9.4247779607693785E-5</v>
      </c>
      <c r="AZ76" s="29">
        <f t="shared" si="38"/>
        <v>0.125</v>
      </c>
      <c r="BA76" s="29">
        <f t="shared" si="39"/>
        <v>21164.221061958509</v>
      </c>
      <c r="BB76" s="11"/>
      <c r="BE76" s="11"/>
      <c r="BF76" s="11"/>
    </row>
    <row r="77" spans="2:61" x14ac:dyDescent="0.3">
      <c r="Z77" s="22">
        <v>2500</v>
      </c>
      <c r="AA77" s="4" cm="1">
        <f t="array" ref="AA77">_xlfn.IFS(AND($C$64="Yes",$C$78="Yes",$C$92="Yes",$C$50="Yes"),1/((1/AG77)+(1/AL77)+(1/AQ77)+(1/AV77)+(1/BA77)),AND($C$64="Yes",$C$78="Yes",$C$92="Yes",$C$50="No"),1/((1/AG77)+(1/AL77)+(1/AQ77)+(1/AV77)),AND($C$64="Yes",$C$78="Yes",$C$92="No",$C$50="No"),1/((1/AG77)+(1/AL77)+(1/AQ77)),AND($C$64="Yes",$C$78="No",$C$92="No",$C$50="No"),1/((1/AG77)+(1/AL77)),AND($C$64="No",$C$78="No",$C$92="No",$C$50="No"),1/((1/AG77)),AND($C$64="Yes",$C$78="No",$C$92="No",$C$50="Yes"),1/((1/AG77)+(1/AL77)+(1/BA77)), AND($C$64="No",$C$78="No",$C$92="No",$C$50="Yes"),1/((1/AG77)+(1/BA77)), AND($C$64="No",$C$78="Yes",$C$92="No",$C$50="Yes"),1/((1/AG77)+(1/AQ77)+(1/BA77)))</f>
        <v>11.868249409797347</v>
      </c>
      <c r="AB77" s="28">
        <f t="shared" si="19"/>
        <v>0.79935871743486953</v>
      </c>
      <c r="AD77" s="26">
        <f t="shared" si="21"/>
        <v>12.05719265847692</v>
      </c>
      <c r="AE77" s="27">
        <f t="shared" si="22"/>
        <v>3.2724923474893681E-3</v>
      </c>
      <c r="AF77" s="28">
        <f t="shared" si="23"/>
        <v>0.25</v>
      </c>
      <c r="AG77" s="29">
        <f t="shared" si="20"/>
        <v>12.056512404979383</v>
      </c>
      <c r="AH77" s="11"/>
      <c r="AI77" s="26">
        <f t="shared" si="24"/>
        <v>795.77471545947674</v>
      </c>
      <c r="AJ77" s="27">
        <f t="shared" si="25"/>
        <v>1.1780972450961724E-4</v>
      </c>
      <c r="AK77" s="29">
        <f t="shared" si="26"/>
        <v>0.125</v>
      </c>
      <c r="AL77" s="29">
        <f t="shared" si="27"/>
        <v>795.77460746723068</v>
      </c>
      <c r="AN77" s="26">
        <f t="shared" si="28"/>
        <v>6366.1977236758139</v>
      </c>
      <c r="AO77" s="27">
        <f t="shared" si="29"/>
        <v>9.4247779607693795E-3</v>
      </c>
      <c r="AP77" s="29">
        <f t="shared" si="30"/>
        <v>10</v>
      </c>
      <c r="AQ77" s="29" t="e">
        <f t="shared" si="31"/>
        <v>#N/A</v>
      </c>
      <c r="AS77" s="26">
        <f t="shared" si="32"/>
        <v>96457.541267815366</v>
      </c>
      <c r="AT77" s="27">
        <f t="shared" si="33"/>
        <v>4.7123889803846897E-3</v>
      </c>
      <c r="AU77" s="29">
        <f t="shared" si="34"/>
        <v>5</v>
      </c>
      <c r="AV77" s="29" t="e">
        <f t="shared" si="35"/>
        <v>#N/A</v>
      </c>
      <c r="AX77" s="26">
        <f t="shared" si="36"/>
        <v>16931.376924669716</v>
      </c>
      <c r="AY77" s="27">
        <f t="shared" si="37"/>
        <v>1.1780972450961724E-4</v>
      </c>
      <c r="AZ77" s="29">
        <f t="shared" si="38"/>
        <v>0.125</v>
      </c>
      <c r="BA77" s="29">
        <f t="shared" si="39"/>
        <v>16931.376807321412</v>
      </c>
      <c r="BC77" s="30"/>
      <c r="BD77" s="11"/>
      <c r="BE77" s="11"/>
      <c r="BH77" s="11"/>
      <c r="BI77" s="11"/>
    </row>
    <row r="78" spans="2:61" ht="15.6" x14ac:dyDescent="0.35">
      <c r="B78" s="2" t="s">
        <v>76</v>
      </c>
      <c r="C78" s="55" t="s">
        <v>47</v>
      </c>
      <c r="Z78" s="22">
        <v>3000</v>
      </c>
      <c r="AA78" s="4" cm="1">
        <f t="array" ref="AA78">_xlfn.IFS(AND($C$64="Yes",$C$78="Yes",$C$92="Yes",$C$50="Yes"),1/((1/AG78)+(1/AL78)+(1/AQ78)+(1/AV78)+(1/BA78)),AND($C$64="Yes",$C$78="Yes",$C$92="Yes",$C$50="No"),1/((1/AG78)+(1/AL78)+(1/AQ78)+(1/AV78)),AND($C$64="Yes",$C$78="Yes",$C$92="No",$C$50="No"),1/((1/AG78)+(1/AL78)+(1/AQ78)),AND($C$64="Yes",$C$78="No",$C$92="No",$C$50="No"),1/((1/AG78)+(1/AL78)),AND($C$64="No",$C$78="No",$C$92="No",$C$50="No"),1/((1/AG78)),AND($C$64="Yes",$C$78="No",$C$92="No",$C$50="Yes"),1/((1/AG78)+(1/AL78)+(1/BA78)), AND($C$64="No",$C$78="No",$C$92="No",$C$50="Yes"),1/((1/AG78)+(1/BA78)), AND($C$64="No",$C$78="Yes",$C$92="No",$C$50="Yes"),1/((1/AG78)+(1/AQ78)+(1/BA78)))</f>
        <v>9.8899663525004033</v>
      </c>
      <c r="AB78" s="28">
        <f t="shared" si="19"/>
        <v>0.79935871743486953</v>
      </c>
      <c r="AD78" s="26">
        <f t="shared" si="21"/>
        <v>10.047660548730768</v>
      </c>
      <c r="AE78" s="27">
        <f t="shared" si="22"/>
        <v>3.9269908169872409E-3</v>
      </c>
      <c r="AF78" s="28">
        <f t="shared" si="23"/>
        <v>0.25</v>
      </c>
      <c r="AG78" s="29">
        <f t="shared" si="20"/>
        <v>10.046844468904823</v>
      </c>
      <c r="AH78" s="11"/>
      <c r="AI78" s="26">
        <f t="shared" si="24"/>
        <v>663.14559621623062</v>
      </c>
      <c r="AJ78" s="27">
        <f t="shared" si="25"/>
        <v>1.4137166941154068E-4</v>
      </c>
      <c r="AK78" s="29">
        <f t="shared" si="26"/>
        <v>0.125</v>
      </c>
      <c r="AL78" s="29">
        <f t="shared" si="27"/>
        <v>663.14546662553607</v>
      </c>
      <c r="AN78" s="26">
        <f t="shared" si="28"/>
        <v>5305.1647697298449</v>
      </c>
      <c r="AO78" s="27">
        <f t="shared" si="29"/>
        <v>1.1309733552923255E-2</v>
      </c>
      <c r="AP78" s="29">
        <f t="shared" si="30"/>
        <v>10</v>
      </c>
      <c r="AQ78" s="29" t="e">
        <f t="shared" si="31"/>
        <v>#N/A</v>
      </c>
      <c r="AS78" s="26">
        <f t="shared" si="32"/>
        <v>80381.284389846143</v>
      </c>
      <c r="AT78" s="27">
        <f t="shared" si="33"/>
        <v>5.6548667764616273E-3</v>
      </c>
      <c r="AU78" s="29">
        <f t="shared" si="34"/>
        <v>5</v>
      </c>
      <c r="AV78" s="29" t="e">
        <f t="shared" si="35"/>
        <v>#N/A</v>
      </c>
      <c r="AX78" s="26">
        <f t="shared" si="36"/>
        <v>14109.480770558099</v>
      </c>
      <c r="AY78" s="27">
        <f t="shared" si="37"/>
        <v>1.4137166941154068E-4</v>
      </c>
      <c r="AZ78" s="29">
        <f t="shared" si="38"/>
        <v>0.125</v>
      </c>
      <c r="BA78" s="29">
        <f t="shared" si="39"/>
        <v>14109.480629740136</v>
      </c>
      <c r="BC78" s="30"/>
      <c r="BD78" s="11"/>
      <c r="BE78" s="11"/>
      <c r="BH78" s="11"/>
      <c r="BI78" s="11"/>
    </row>
    <row r="79" spans="2:61" ht="15.6" x14ac:dyDescent="0.35">
      <c r="B79" s="2" t="s">
        <v>82</v>
      </c>
      <c r="C79" s="55">
        <v>10</v>
      </c>
      <c r="D79" s="10" t="s">
        <v>8</v>
      </c>
      <c r="Z79" s="22">
        <v>3500</v>
      </c>
      <c r="AA79" s="4" cm="1">
        <f t="array" ref="AA79">_xlfn.IFS(AND($C$64="Yes",$C$78="Yes",$C$92="Yes",$C$50="Yes"),1/((1/AG79)+(1/AL79)+(1/AQ79)+(1/AV79)+(1/BA79)),AND($C$64="Yes",$C$78="Yes",$C$92="Yes",$C$50="No"),1/((1/AG79)+(1/AL79)+(1/AQ79)+(1/AV79)),AND($C$64="Yes",$C$78="Yes",$C$92="No",$C$50="No"),1/((1/AG79)+(1/AL79)+(1/AQ79)),AND($C$64="Yes",$C$78="No",$C$92="No",$C$50="No"),1/((1/AG79)+(1/AL79)),AND($C$64="No",$C$78="No",$C$92="No",$C$50="No"),1/((1/AG79)),AND($C$64="Yes",$C$78="No",$C$92="No",$C$50="Yes"),1/((1/AG79)+(1/AL79)+(1/BA79)), AND($C$64="No",$C$78="No",$C$92="No",$C$50="Yes"),1/((1/AG79)+(1/BA79)), AND($C$64="No",$C$78="Yes",$C$92="No",$C$50="Yes"),1/((1/AG79)+(1/AQ79)+(1/BA79)))</f>
        <v>8.4768695378496997</v>
      </c>
      <c r="AB79" s="28">
        <f t="shared" si="19"/>
        <v>0.79935871743486953</v>
      </c>
      <c r="AD79" s="26">
        <f t="shared" si="21"/>
        <v>8.612280470340659</v>
      </c>
      <c r="AE79" s="27">
        <f t="shared" si="22"/>
        <v>4.5814892864851145E-3</v>
      </c>
      <c r="AF79" s="28">
        <f t="shared" si="23"/>
        <v>0.25</v>
      </c>
      <c r="AG79" s="29">
        <f t="shared" si="20"/>
        <v>8.6113286865872833</v>
      </c>
      <c r="AH79" s="11"/>
      <c r="AI79" s="26">
        <f t="shared" si="24"/>
        <v>568.41051104248345</v>
      </c>
      <c r="AJ79" s="27">
        <f t="shared" si="25"/>
        <v>1.6493361431346411E-4</v>
      </c>
      <c r="AK79" s="29">
        <f t="shared" si="26"/>
        <v>0.125</v>
      </c>
      <c r="AL79" s="29">
        <f t="shared" si="27"/>
        <v>568.41035985334076</v>
      </c>
      <c r="AN79" s="26">
        <f t="shared" si="28"/>
        <v>4547.2840883398676</v>
      </c>
      <c r="AO79" s="27">
        <f t="shared" si="29"/>
        <v>1.3194689145077132E-2</v>
      </c>
      <c r="AP79" s="29">
        <f t="shared" si="30"/>
        <v>10</v>
      </c>
      <c r="AQ79" s="29" t="e">
        <f t="shared" si="31"/>
        <v>#N/A</v>
      </c>
      <c r="AS79" s="26">
        <f t="shared" si="32"/>
        <v>68898.243762725266</v>
      </c>
      <c r="AT79" s="27">
        <f t="shared" si="33"/>
        <v>6.5973445725385658E-3</v>
      </c>
      <c r="AU79" s="29">
        <f t="shared" si="34"/>
        <v>5</v>
      </c>
      <c r="AV79" s="29" t="e">
        <f t="shared" si="35"/>
        <v>#N/A</v>
      </c>
      <c r="AX79" s="26">
        <f t="shared" si="36"/>
        <v>12093.84066047837</v>
      </c>
      <c r="AY79" s="27">
        <f t="shared" si="37"/>
        <v>1.6493361431346411E-4</v>
      </c>
      <c r="AZ79" s="29">
        <f t="shared" si="38"/>
        <v>0.125</v>
      </c>
      <c r="BA79" s="29">
        <f t="shared" si="39"/>
        <v>12093.840496190745</v>
      </c>
      <c r="BC79" s="30"/>
      <c r="BD79" s="11"/>
      <c r="BE79" s="11"/>
      <c r="BH79" s="11"/>
      <c r="BI79" s="11"/>
    </row>
    <row r="80" spans="2:61" x14ac:dyDescent="0.3">
      <c r="B80" s="2" t="s">
        <v>81</v>
      </c>
      <c r="C80" s="55">
        <v>10</v>
      </c>
      <c r="D80" s="4" t="s">
        <v>21</v>
      </c>
      <c r="Z80" s="22">
        <v>4000</v>
      </c>
      <c r="AA80" s="4" cm="1">
        <f t="array" ref="AA80">_xlfn.IFS(AND($C$64="Yes",$C$78="Yes",$C$92="Yes",$C$50="Yes"),1/((1/AG80)+(1/AL80)+(1/AQ80)+(1/AV80)+(1/BA80)),AND($C$64="Yes",$C$78="Yes",$C$92="Yes",$C$50="No"),1/((1/AG80)+(1/AL80)+(1/AQ80)+(1/AV80)),AND($C$64="Yes",$C$78="Yes",$C$92="No",$C$50="No"),1/((1/AG80)+(1/AL80)+(1/AQ80)),AND($C$64="Yes",$C$78="No",$C$92="No",$C$50="No"),1/((1/AG80)+(1/AL80)),AND($C$64="No",$C$78="No",$C$92="No",$C$50="No"),1/((1/AG80)),AND($C$64="Yes",$C$78="No",$C$92="No",$C$50="Yes"),1/((1/AG80)+(1/AL80)+(1/BA80)), AND($C$64="No",$C$78="No",$C$92="No",$C$50="Yes"),1/((1/AG80)+(1/BA80)), AND($C$64="No",$C$78="Yes",$C$92="No",$C$50="Yes"),1/((1/AG80)+(1/AQ80)+(1/BA80)))</f>
        <v>7.4170141890230941</v>
      </c>
      <c r="AB80" s="28">
        <f t="shared" si="19"/>
        <v>0.79935871743486953</v>
      </c>
      <c r="AD80" s="26">
        <f t="shared" si="21"/>
        <v>7.535745411548076</v>
      </c>
      <c r="AE80" s="27">
        <f t="shared" si="22"/>
        <v>5.235987755982989E-3</v>
      </c>
      <c r="AF80" s="28">
        <f t="shared" si="23"/>
        <v>0.25</v>
      </c>
      <c r="AG80" s="29">
        <f t="shared" si="20"/>
        <v>7.5346580666823577</v>
      </c>
      <c r="AH80" s="11"/>
      <c r="AI80" s="26">
        <f t="shared" si="24"/>
        <v>497.35919716217302</v>
      </c>
      <c r="AJ80" s="27">
        <f t="shared" si="25"/>
        <v>1.8849555921538757E-4</v>
      </c>
      <c r="AK80" s="29">
        <f t="shared" si="26"/>
        <v>0.125</v>
      </c>
      <c r="AL80" s="29">
        <f t="shared" si="27"/>
        <v>497.35902437458276</v>
      </c>
      <c r="AN80" s="26">
        <f t="shared" si="28"/>
        <v>3978.8735772973841</v>
      </c>
      <c r="AO80" s="27">
        <f t="shared" si="29"/>
        <v>1.5079644737231007E-2</v>
      </c>
      <c r="AP80" s="29">
        <f t="shared" si="30"/>
        <v>10</v>
      </c>
      <c r="AQ80" s="29" t="e">
        <f t="shared" si="31"/>
        <v>#N/A</v>
      </c>
      <c r="AS80" s="26">
        <f t="shared" si="32"/>
        <v>60285.963292384607</v>
      </c>
      <c r="AT80" s="27">
        <f t="shared" si="33"/>
        <v>7.5398223686155034E-3</v>
      </c>
      <c r="AU80" s="29">
        <f t="shared" si="34"/>
        <v>5</v>
      </c>
      <c r="AV80" s="29" t="e">
        <f t="shared" si="35"/>
        <v>#N/A</v>
      </c>
      <c r="AX80" s="26">
        <f t="shared" si="36"/>
        <v>10582.110577918575</v>
      </c>
      <c r="AY80" s="27">
        <f t="shared" si="37"/>
        <v>1.8849555921538757E-4</v>
      </c>
      <c r="AZ80" s="29">
        <f t="shared" si="38"/>
        <v>0.125</v>
      </c>
      <c r="BA80" s="29">
        <f t="shared" si="39"/>
        <v>10582.11039016129</v>
      </c>
      <c r="BC80" s="30"/>
      <c r="BD80" s="11"/>
      <c r="BE80" s="11"/>
      <c r="BH80" s="11"/>
      <c r="BI80" s="11"/>
    </row>
    <row r="81" spans="2:61" x14ac:dyDescent="0.3">
      <c r="B81" s="2" t="s">
        <v>80</v>
      </c>
      <c r="C81" s="55">
        <v>0.6</v>
      </c>
      <c r="D81" s="4" t="s">
        <v>5</v>
      </c>
      <c r="Z81" s="22">
        <v>4500</v>
      </c>
      <c r="AA81" s="4" cm="1">
        <f t="array" ref="AA81">_xlfn.IFS(AND($C$64="Yes",$C$78="Yes",$C$92="Yes",$C$50="Yes"),1/((1/AG81)+(1/AL81)+(1/AQ81)+(1/AV81)+(1/BA81)),AND($C$64="Yes",$C$78="Yes",$C$92="Yes",$C$50="No"),1/((1/AG81)+(1/AL81)+(1/AQ81)+(1/AV81)),AND($C$64="Yes",$C$78="Yes",$C$92="No",$C$50="No"),1/((1/AG81)+(1/AL81)+(1/AQ81)),AND($C$64="Yes",$C$78="No",$C$92="No",$C$50="No"),1/((1/AG81)+(1/AL81)),AND($C$64="No",$C$78="No",$C$92="No",$C$50="No"),1/((1/AG81)),AND($C$64="Yes",$C$78="No",$C$92="No",$C$50="Yes"),1/((1/AG81)+(1/AL81)+(1/BA81)), AND($C$64="No",$C$78="No",$C$92="No",$C$50="Yes"),1/((1/AG81)+(1/BA81)), AND($C$64="No",$C$78="Yes",$C$92="No",$C$50="Yes"),1/((1/AG81)+(1/AQ81)+(1/BA81)))</f>
        <v>6.5926532165721836</v>
      </c>
      <c r="AB81" s="28">
        <f t="shared" si="19"/>
        <v>0.79935871743486953</v>
      </c>
      <c r="AD81" s="26">
        <f t="shared" si="21"/>
        <v>6.6984403658205123</v>
      </c>
      <c r="AE81" s="27">
        <f t="shared" si="22"/>
        <v>5.8904862254808626E-3</v>
      </c>
      <c r="AF81" s="28">
        <f t="shared" si="23"/>
        <v>0.25</v>
      </c>
      <c r="AG81" s="29">
        <f t="shared" si="20"/>
        <v>6.6972176230780693</v>
      </c>
      <c r="AH81" s="11"/>
      <c r="AI81" s="26">
        <f t="shared" si="24"/>
        <v>442.09706414415371</v>
      </c>
      <c r="AJ81" s="27">
        <f t="shared" si="25"/>
        <v>2.1205750411731105E-4</v>
      </c>
      <c r="AK81" s="29">
        <f t="shared" si="26"/>
        <v>0.125</v>
      </c>
      <c r="AL81" s="29">
        <f t="shared" si="27"/>
        <v>442.09686975811633</v>
      </c>
      <c r="AN81" s="26">
        <f t="shared" si="28"/>
        <v>3536.7765131532296</v>
      </c>
      <c r="AO81" s="27">
        <f t="shared" si="29"/>
        <v>1.6964600329384884E-2</v>
      </c>
      <c r="AP81" s="29">
        <f t="shared" si="30"/>
        <v>10</v>
      </c>
      <c r="AQ81" s="29" t="e">
        <f t="shared" si="31"/>
        <v>#N/A</v>
      </c>
      <c r="AS81" s="26">
        <f t="shared" si="32"/>
        <v>53587.522926564081</v>
      </c>
      <c r="AT81" s="27">
        <f t="shared" si="33"/>
        <v>8.4823001646924419E-3</v>
      </c>
      <c r="AU81" s="29">
        <f t="shared" si="34"/>
        <v>5</v>
      </c>
      <c r="AV81" s="29" t="e">
        <f t="shared" si="35"/>
        <v>#N/A</v>
      </c>
      <c r="AX81" s="26">
        <f t="shared" si="36"/>
        <v>9406.3205137053992</v>
      </c>
      <c r="AY81" s="27">
        <f t="shared" si="37"/>
        <v>2.1205750411731105E-4</v>
      </c>
      <c r="AZ81" s="29">
        <f t="shared" si="38"/>
        <v>0.125</v>
      </c>
      <c r="BA81" s="29">
        <f t="shared" si="39"/>
        <v>9406.3203024784525</v>
      </c>
      <c r="BC81" s="30"/>
      <c r="BD81" s="11"/>
      <c r="BE81" s="11"/>
      <c r="BH81" s="11"/>
      <c r="BI81" s="11"/>
    </row>
    <row r="82" spans="2:61" x14ac:dyDescent="0.3">
      <c r="B82" s="2" t="s">
        <v>62</v>
      </c>
      <c r="C82" s="55">
        <v>1</v>
      </c>
      <c r="D82" s="4"/>
      <c r="Z82" s="22">
        <v>5000</v>
      </c>
      <c r="AA82" s="4" cm="1">
        <f t="array" ref="AA82">_xlfn.IFS(AND($C$64="Yes",$C$78="Yes",$C$92="Yes",$C$50="Yes"),1/((1/AG82)+(1/AL82)+(1/AQ82)+(1/AV82)+(1/BA82)),AND($C$64="Yes",$C$78="Yes",$C$92="Yes",$C$50="No"),1/((1/AG82)+(1/AL82)+(1/AQ82)+(1/AV82)),AND($C$64="Yes",$C$78="Yes",$C$92="No",$C$50="No"),1/((1/AG82)+(1/AL82)+(1/AQ82)),AND($C$64="Yes",$C$78="No",$C$92="No",$C$50="No"),1/((1/AG82)+(1/AL82)),AND($C$64="No",$C$78="No",$C$92="No",$C$50="No"),1/((1/AG82)),AND($C$64="Yes",$C$78="No",$C$92="No",$C$50="Yes"),1/((1/AG82)+(1/AL82)+(1/BA82)), AND($C$64="No",$C$78="No",$C$92="No",$C$50="Yes"),1/((1/AG82)+(1/BA82)), AND($C$64="No",$C$78="Yes",$C$92="No",$C$50="Yes"),1/((1/AG82)+(1/AQ82)+(1/BA82)))</f>
        <v>5.933138374739551</v>
      </c>
      <c r="AB82" s="28">
        <f t="shared" si="19"/>
        <v>0.79935871743486953</v>
      </c>
      <c r="AD82" s="26">
        <f t="shared" si="21"/>
        <v>6.0285963292384599</v>
      </c>
      <c r="AE82" s="27">
        <f t="shared" si="22"/>
        <v>6.5449846949787362E-3</v>
      </c>
      <c r="AF82" s="28">
        <f t="shared" si="23"/>
        <v>0.25</v>
      </c>
      <c r="AG82" s="29">
        <f t="shared" si="20"/>
        <v>6.0272383722827776</v>
      </c>
      <c r="AH82" s="11"/>
      <c r="AI82" s="26">
        <f t="shared" si="24"/>
        <v>397.88735772973837</v>
      </c>
      <c r="AJ82" s="27">
        <f t="shared" si="25"/>
        <v>2.3561944901923448E-4</v>
      </c>
      <c r="AK82" s="29">
        <f t="shared" si="26"/>
        <v>0.125</v>
      </c>
      <c r="AL82" s="29">
        <f t="shared" si="27"/>
        <v>397.88714174525455</v>
      </c>
      <c r="AN82" s="26">
        <f t="shared" si="28"/>
        <v>3183.098861837907</v>
      </c>
      <c r="AO82" s="27">
        <f t="shared" si="29"/>
        <v>1.8849555921538759E-2</v>
      </c>
      <c r="AP82" s="29">
        <f t="shared" si="30"/>
        <v>10</v>
      </c>
      <c r="AQ82" s="29" t="e">
        <f t="shared" si="31"/>
        <v>#N/A</v>
      </c>
      <c r="AS82" s="26">
        <f t="shared" si="32"/>
        <v>48228.770633907683</v>
      </c>
      <c r="AT82" s="27">
        <f t="shared" si="33"/>
        <v>9.4247779607693795E-3</v>
      </c>
      <c r="AU82" s="29">
        <f t="shared" si="34"/>
        <v>5</v>
      </c>
      <c r="AV82" s="29" t="e">
        <f t="shared" si="35"/>
        <v>#N/A</v>
      </c>
      <c r="AX82" s="26">
        <f t="shared" si="36"/>
        <v>8465.6884623348578</v>
      </c>
      <c r="AY82" s="27">
        <f t="shared" si="37"/>
        <v>2.3561944901923448E-4</v>
      </c>
      <c r="AZ82" s="29">
        <f t="shared" si="38"/>
        <v>0.125</v>
      </c>
      <c r="BA82" s="29">
        <f t="shared" si="39"/>
        <v>8465.6882276382512</v>
      </c>
      <c r="BC82" s="30"/>
      <c r="BD82" s="11"/>
      <c r="BE82" s="11"/>
      <c r="BH82" s="11"/>
      <c r="BI82" s="11"/>
    </row>
    <row r="83" spans="2:61" x14ac:dyDescent="0.3">
      <c r="B83" s="2" t="s">
        <v>63</v>
      </c>
      <c r="C83" s="43">
        <f>C82*$C$32</f>
        <v>2</v>
      </c>
      <c r="D83" s="4"/>
      <c r="Z83" s="22">
        <v>5500</v>
      </c>
      <c r="AA83" s="4" cm="1">
        <f t="array" ref="AA83">_xlfn.IFS(AND($C$64="Yes",$C$78="Yes",$C$92="Yes",$C$50="Yes"),1/((1/AG83)+(1/AL83)+(1/AQ83)+(1/AV83)+(1/BA83)),AND($C$64="Yes",$C$78="Yes",$C$92="Yes",$C$50="No"),1/((1/AG83)+(1/AL83)+(1/AQ83)+(1/AV83)),AND($C$64="Yes",$C$78="Yes",$C$92="No",$C$50="No"),1/((1/AG83)+(1/AL83)+(1/AQ83)),AND($C$64="Yes",$C$78="No",$C$92="No",$C$50="No"),1/((1/AG83)+(1/AL83)),AND($C$64="No",$C$78="No",$C$92="No",$C$50="No"),1/((1/AG83)),AND($C$64="Yes",$C$78="No",$C$92="No",$C$50="Yes"),1/((1/AG83)+(1/AL83)+(1/BA83)), AND($C$64="No",$C$78="No",$C$92="No",$C$50="Yes"),1/((1/AG83)+(1/BA83)), AND($C$64="No",$C$78="Yes",$C$92="No",$C$50="Yes"),1/((1/AG83)+(1/AQ83)+(1/BA83)))</f>
        <v>5.3935116961489209</v>
      </c>
      <c r="AB83" s="28">
        <f t="shared" si="19"/>
        <v>0.79935871743486953</v>
      </c>
      <c r="AD83" s="26">
        <f t="shared" si="21"/>
        <v>5.4805421174895104</v>
      </c>
      <c r="AE83" s="27">
        <f t="shared" si="22"/>
        <v>7.1994831644766081E-3</v>
      </c>
      <c r="AF83" s="28">
        <f t="shared" si="23"/>
        <v>0.25</v>
      </c>
      <c r="AG83" s="29">
        <f t="shared" si="20"/>
        <v>5.4790491504201801</v>
      </c>
      <c r="AH83" s="11"/>
      <c r="AI83" s="26">
        <f t="shared" si="24"/>
        <v>361.71577975430762</v>
      </c>
      <c r="AJ83" s="27">
        <f t="shared" si="25"/>
        <v>2.5918139392115788E-4</v>
      </c>
      <c r="AK83" s="29">
        <f t="shared" si="26"/>
        <v>0.125</v>
      </c>
      <c r="AL83" s="29">
        <f t="shared" si="27"/>
        <v>361.71554217137805</v>
      </c>
      <c r="AN83" s="26">
        <f t="shared" si="28"/>
        <v>2893.7262380344609</v>
      </c>
      <c r="AO83" s="27">
        <f t="shared" si="29"/>
        <v>2.0734511513692631E-2</v>
      </c>
      <c r="AP83" s="29">
        <f t="shared" si="30"/>
        <v>10</v>
      </c>
      <c r="AQ83" s="29" t="e">
        <f t="shared" si="31"/>
        <v>#N/A</v>
      </c>
      <c r="AS83" s="26">
        <f t="shared" si="32"/>
        <v>43844.33693991608</v>
      </c>
      <c r="AT83" s="27">
        <f t="shared" si="33"/>
        <v>1.0367255756846315E-2</v>
      </c>
      <c r="AU83" s="29">
        <f t="shared" si="34"/>
        <v>5</v>
      </c>
      <c r="AV83" s="29" t="e">
        <f t="shared" si="35"/>
        <v>#N/A</v>
      </c>
      <c r="AX83" s="26">
        <f t="shared" si="36"/>
        <v>7696.0804203044181</v>
      </c>
      <c r="AY83" s="27">
        <f t="shared" si="37"/>
        <v>2.5918139392115788E-4</v>
      </c>
      <c r="AZ83" s="29">
        <f t="shared" si="38"/>
        <v>0.125</v>
      </c>
      <c r="BA83" s="29">
        <f t="shared" si="39"/>
        <v>7696.0801621381515</v>
      </c>
      <c r="BC83" s="30"/>
      <c r="BD83" s="11"/>
      <c r="BE83" s="11"/>
      <c r="BH83" s="11"/>
      <c r="BI83" s="11"/>
    </row>
    <row r="84" spans="2:61" ht="15.6" x14ac:dyDescent="0.35">
      <c r="B84" s="2" t="s">
        <v>172</v>
      </c>
      <c r="C84" s="43">
        <f>C79*$C$83</f>
        <v>20</v>
      </c>
      <c r="D84" s="10" t="s">
        <v>8</v>
      </c>
      <c r="Z84" s="22">
        <v>6000</v>
      </c>
      <c r="AA84" s="4" cm="1">
        <f t="array" ref="AA84">_xlfn.IFS(AND($C$64="Yes",$C$78="Yes",$C$92="Yes",$C$50="Yes"),1/((1/AG84)+(1/AL84)+(1/AQ84)+(1/AV84)+(1/BA84)),AND($C$64="Yes",$C$78="Yes",$C$92="Yes",$C$50="No"),1/((1/AG84)+(1/AL84)+(1/AQ84)+(1/AV84)),AND($C$64="Yes",$C$78="Yes",$C$92="No",$C$50="No"),1/((1/AG84)+(1/AL84)+(1/AQ84)),AND($C$64="Yes",$C$78="No",$C$92="No",$C$50="No"),1/((1/AG84)+(1/AL84)),AND($C$64="No",$C$78="No",$C$92="No",$C$50="No"),1/((1/AG84)),AND($C$64="Yes",$C$78="No",$C$92="No",$C$50="Yes"),1/((1/AG84)+(1/AL84)+(1/BA84)), AND($C$64="No",$C$78="No",$C$92="No",$C$50="Yes"),1/((1/AG84)+(1/BA84)), AND($C$64="No",$C$78="Yes",$C$92="No",$C$50="Yes"),1/((1/AG84)+(1/AQ84)+(1/BA84)))</f>
        <v>4.9438012091506742</v>
      </c>
      <c r="AB84" s="28">
        <f t="shared" si="19"/>
        <v>0.79935871743486953</v>
      </c>
      <c r="AD84" s="26">
        <f t="shared" si="21"/>
        <v>5.023830274365384</v>
      </c>
      <c r="AE84" s="27">
        <f t="shared" si="22"/>
        <v>7.8539816339744817E-3</v>
      </c>
      <c r="AF84" s="28">
        <f t="shared" si="23"/>
        <v>0.25</v>
      </c>
      <c r="AG84" s="29">
        <f t="shared" si="20"/>
        <v>5.0222025217272481</v>
      </c>
      <c r="AH84" s="11"/>
      <c r="AI84" s="26">
        <f t="shared" si="24"/>
        <v>331.57279810811531</v>
      </c>
      <c r="AJ84" s="27">
        <f t="shared" si="25"/>
        <v>2.8274333882308137E-4</v>
      </c>
      <c r="AK84" s="29">
        <f t="shared" si="26"/>
        <v>0.125</v>
      </c>
      <c r="AL84" s="29">
        <f t="shared" si="27"/>
        <v>331.57253892674066</v>
      </c>
      <c r="AN84" s="26">
        <f t="shared" si="28"/>
        <v>2652.5823848649225</v>
      </c>
      <c r="AO84" s="27">
        <f t="shared" si="29"/>
        <v>2.2619467105846509E-2</v>
      </c>
      <c r="AP84" s="29">
        <f t="shared" si="30"/>
        <v>10</v>
      </c>
      <c r="AQ84" s="29" t="e">
        <f t="shared" si="31"/>
        <v>#N/A</v>
      </c>
      <c r="AS84" s="26">
        <f t="shared" si="32"/>
        <v>40190.642194923072</v>
      </c>
      <c r="AT84" s="27">
        <f t="shared" si="33"/>
        <v>1.1309733552923255E-2</v>
      </c>
      <c r="AU84" s="29">
        <f t="shared" si="34"/>
        <v>5</v>
      </c>
      <c r="AV84" s="29" t="e">
        <f t="shared" si="35"/>
        <v>#N/A</v>
      </c>
      <c r="AX84" s="26">
        <f t="shared" si="36"/>
        <v>7054.7403852790494</v>
      </c>
      <c r="AY84" s="27">
        <f t="shared" si="37"/>
        <v>2.8274333882308137E-4</v>
      </c>
      <c r="AZ84" s="29">
        <f t="shared" si="38"/>
        <v>0.125</v>
      </c>
      <c r="BA84" s="29">
        <f t="shared" si="39"/>
        <v>7054.740103643122</v>
      </c>
      <c r="BC84" s="30"/>
      <c r="BD84" s="11"/>
      <c r="BE84" s="11"/>
      <c r="BH84" s="11"/>
      <c r="BI84" s="11"/>
    </row>
    <row r="85" spans="2:61" x14ac:dyDescent="0.3">
      <c r="B85" s="2" t="s">
        <v>115</v>
      </c>
      <c r="C85" s="47">
        <f>C80/$C$83</f>
        <v>5</v>
      </c>
      <c r="D85" s="4" t="s">
        <v>21</v>
      </c>
      <c r="Z85" s="22">
        <v>6500</v>
      </c>
      <c r="AA85" s="4" cm="1">
        <f t="array" ref="AA85">_xlfn.IFS(AND($C$64="Yes",$C$78="Yes",$C$92="Yes",$C$50="Yes"),1/((1/AG85)+(1/AL85)+(1/AQ85)+(1/AV85)+(1/BA85)),AND($C$64="Yes",$C$78="Yes",$C$92="Yes",$C$50="No"),1/((1/AG85)+(1/AL85)+(1/AQ85)+(1/AV85)),AND($C$64="Yes",$C$78="Yes",$C$92="No",$C$50="No"),1/((1/AG85)+(1/AL85)+(1/AQ85)),AND($C$64="Yes",$C$78="No",$C$92="No",$C$50="No"),1/((1/AG85)+(1/AL85)),AND($C$64="No",$C$78="No",$C$92="No",$C$50="No"),1/((1/AG85)),AND($C$64="Yes",$C$78="No",$C$92="No",$C$50="Yes"),1/((1/AG85)+(1/AL85)+(1/BA85)), AND($C$64="No",$C$78="No",$C$92="No",$C$50="Yes"),1/((1/AG85)+(1/BA85)), AND($C$64="No",$C$78="Yes",$C$92="No",$C$50="Yes"),1/((1/AG85)+(1/AQ85)+(1/BA85)))</f>
        <v>4.5632570933160173</v>
      </c>
      <c r="AB85" s="28">
        <f t="shared" si="19"/>
        <v>0.79935871743486953</v>
      </c>
      <c r="AD85" s="26">
        <f t="shared" si="21"/>
        <v>4.637381791721892</v>
      </c>
      <c r="AE85" s="27">
        <f t="shared" si="22"/>
        <v>8.508480103472358E-3</v>
      </c>
      <c r="AF85" s="28">
        <f t="shared" si="23"/>
        <v>0.25</v>
      </c>
      <c r="AG85" s="29">
        <f t="shared" si="20"/>
        <v>4.635619498515088</v>
      </c>
      <c r="AH85" s="11"/>
      <c r="AI85" s="26">
        <f t="shared" si="24"/>
        <v>306.06719825364485</v>
      </c>
      <c r="AJ85" s="27">
        <f t="shared" si="25"/>
        <v>3.0630528372500485E-4</v>
      </c>
      <c r="AK85" s="29">
        <f t="shared" si="26"/>
        <v>0.125</v>
      </c>
      <c r="AL85" s="29">
        <f t="shared" si="27"/>
        <v>306.06691747382587</v>
      </c>
      <c r="AN85" s="26">
        <f t="shared" si="28"/>
        <v>2448.5375860291588</v>
      </c>
      <c r="AO85" s="27">
        <f t="shared" si="29"/>
        <v>2.4504422698000388E-2</v>
      </c>
      <c r="AP85" s="29">
        <f t="shared" si="30"/>
        <v>10</v>
      </c>
      <c r="AQ85" s="29" t="e">
        <f t="shared" si="31"/>
        <v>#N/A</v>
      </c>
      <c r="AS85" s="26">
        <f t="shared" si="32"/>
        <v>37099.05433377513</v>
      </c>
      <c r="AT85" s="27">
        <f t="shared" si="33"/>
        <v>1.2252211349000194E-2</v>
      </c>
      <c r="AU85" s="29">
        <f t="shared" si="34"/>
        <v>5</v>
      </c>
      <c r="AV85" s="29" t="e">
        <f t="shared" si="35"/>
        <v>#N/A</v>
      </c>
      <c r="AX85" s="26">
        <f t="shared" si="36"/>
        <v>6512.0680479498915</v>
      </c>
      <c r="AY85" s="27">
        <f t="shared" si="37"/>
        <v>3.0630528372500485E-4</v>
      </c>
      <c r="AZ85" s="29">
        <f t="shared" si="38"/>
        <v>0.125</v>
      </c>
      <c r="BA85" s="29">
        <f t="shared" si="39"/>
        <v>6512.0677428443032</v>
      </c>
      <c r="BC85" s="30"/>
      <c r="BD85" s="11"/>
      <c r="BE85" s="11"/>
      <c r="BH85" s="11"/>
      <c r="BI85" s="11"/>
    </row>
    <row r="86" spans="2:61" x14ac:dyDescent="0.3">
      <c r="B86" s="2" t="s">
        <v>188</v>
      </c>
      <c r="C86" s="47">
        <f>C81/$C$83</f>
        <v>0.3</v>
      </c>
      <c r="D86" s="4" t="s">
        <v>5</v>
      </c>
      <c r="Z86" s="22">
        <v>7000</v>
      </c>
      <c r="AA86" s="4" cm="1">
        <f t="array" ref="AA86">_xlfn.IFS(AND($C$64="Yes",$C$78="Yes",$C$92="Yes",$C$50="Yes"),1/((1/AG86)+(1/AL86)+(1/AQ86)+(1/AV86)+(1/BA86)),AND($C$64="Yes",$C$78="Yes",$C$92="Yes",$C$50="No"),1/((1/AG86)+(1/AL86)+(1/AQ86)+(1/AV86)),AND($C$64="Yes",$C$78="Yes",$C$92="No",$C$50="No"),1/((1/AG86)+(1/AL86)+(1/AQ86)),AND($C$64="Yes",$C$78="No",$C$92="No",$C$50="No"),1/((1/AG86)+(1/AL86)),AND($C$64="No",$C$78="No",$C$92="No",$C$50="No"),1/((1/AG86)),AND($C$64="Yes",$C$78="No",$C$92="No",$C$50="Yes"),1/((1/AG86)+(1/AL86)+(1/BA86)), AND($C$64="No",$C$78="No",$C$92="No",$C$50="Yes"),1/((1/AG86)+(1/BA86)), AND($C$64="No",$C$78="Yes",$C$92="No",$C$50="Yes"),1/((1/AG86)+(1/AQ86)+(1/BA86)))</f>
        <v>4.2370580540054537</v>
      </c>
      <c r="AB86" s="28">
        <f t="shared" si="19"/>
        <v>0.79935871743486953</v>
      </c>
      <c r="AD86" s="26">
        <f t="shared" si="21"/>
        <v>4.3061402351703295</v>
      </c>
      <c r="AE86" s="27">
        <f t="shared" si="22"/>
        <v>9.162978572970229E-3</v>
      </c>
      <c r="AF86" s="28">
        <f t="shared" si="23"/>
        <v>0.25</v>
      </c>
      <c r="AG86" s="29">
        <f t="shared" si="20"/>
        <v>4.3042436668612254</v>
      </c>
      <c r="AH86" s="11"/>
      <c r="AI86" s="26">
        <f t="shared" si="24"/>
        <v>284.20525552124172</v>
      </c>
      <c r="AJ86" s="27">
        <f t="shared" si="25"/>
        <v>3.2986722862692823E-4</v>
      </c>
      <c r="AK86" s="29">
        <f t="shared" si="26"/>
        <v>0.125</v>
      </c>
      <c r="AL86" s="29">
        <f t="shared" si="27"/>
        <v>284.20495314297938</v>
      </c>
      <c r="AN86" s="26">
        <f t="shared" si="28"/>
        <v>2273.6420441699338</v>
      </c>
      <c r="AO86" s="27">
        <f t="shared" si="29"/>
        <v>2.6389378290154263E-2</v>
      </c>
      <c r="AP86" s="29">
        <f t="shared" si="30"/>
        <v>10</v>
      </c>
      <c r="AQ86" s="29" t="e">
        <f t="shared" si="31"/>
        <v>#N/A</v>
      </c>
      <c r="AS86" s="26">
        <f t="shared" si="32"/>
        <v>34449.121881362633</v>
      </c>
      <c r="AT86" s="27">
        <f t="shared" si="33"/>
        <v>1.3194689145077132E-2</v>
      </c>
      <c r="AU86" s="29">
        <f t="shared" si="34"/>
        <v>5</v>
      </c>
      <c r="AV86" s="29" t="e">
        <f t="shared" si="35"/>
        <v>#N/A</v>
      </c>
      <c r="AX86" s="26">
        <f t="shared" si="36"/>
        <v>6046.9203302391852</v>
      </c>
      <c r="AY86" s="27">
        <f t="shared" si="37"/>
        <v>3.2986722862692823E-4</v>
      </c>
      <c r="AZ86" s="29">
        <f t="shared" si="38"/>
        <v>0.125</v>
      </c>
      <c r="BA86" s="29">
        <f t="shared" si="39"/>
        <v>6046.920001663937</v>
      </c>
      <c r="BC86" s="30"/>
      <c r="BD86" s="11"/>
      <c r="BE86" s="11"/>
      <c r="BH86" s="11"/>
      <c r="BI86" s="11"/>
    </row>
    <row r="87" spans="2:61" x14ac:dyDescent="0.3">
      <c r="B87" s="2" t="s">
        <v>110</v>
      </c>
      <c r="C87" s="47">
        <f>(1/(2*PI()*(SQRT($C$79*0.000001*$C$81*0.000000001))))*0.000001</f>
        <v>2.0546814802049993</v>
      </c>
      <c r="D87" s="4" t="s">
        <v>87</v>
      </c>
      <c r="Z87" s="22">
        <v>7500</v>
      </c>
      <c r="AA87" s="4" cm="1">
        <f t="array" ref="AA87">_xlfn.IFS(AND($C$64="Yes",$C$78="Yes",$C$92="Yes",$C$50="Yes"),1/((1/AG87)+(1/AL87)+(1/AQ87)+(1/AV87)+(1/BA87)),AND($C$64="Yes",$C$78="Yes",$C$92="Yes",$C$50="No"),1/((1/AG87)+(1/AL87)+(1/AQ87)+(1/AV87)),AND($C$64="Yes",$C$78="Yes",$C$92="No",$C$50="No"),1/((1/AG87)+(1/AL87)+(1/AQ87)),AND($C$64="Yes",$C$78="No",$C$92="No",$C$50="No"),1/((1/AG87)+(1/AL87)),AND($C$64="No",$C$78="No",$C$92="No",$C$50="No"),1/((1/AG87)),AND($C$64="Yes",$C$78="No",$C$92="No",$C$50="Yes"),1/((1/AG87)+(1/AL87)+(1/BA87)), AND($C$64="No",$C$78="No",$C$92="No",$C$50="Yes"),1/((1/AG87)+(1/BA87)), AND($C$64="No",$C$78="Yes",$C$92="No",$C$50="Yes"),1/((1/AG87)+(1/AQ87)+(1/BA87)))</f>
        <v>3.9543351471102026</v>
      </c>
      <c r="AB87" s="28">
        <f t="shared" si="19"/>
        <v>0.79935871743486953</v>
      </c>
      <c r="AD87" s="26">
        <f t="shared" si="21"/>
        <v>4.0190642194923063</v>
      </c>
      <c r="AE87" s="27">
        <f t="shared" si="22"/>
        <v>9.8174770424681035E-3</v>
      </c>
      <c r="AF87" s="28">
        <f t="shared" si="23"/>
        <v>0.25</v>
      </c>
      <c r="AG87" s="29">
        <f t="shared" si="20"/>
        <v>4.0170336620253311</v>
      </c>
      <c r="AH87" s="11"/>
      <c r="AI87" s="26">
        <f t="shared" si="24"/>
        <v>265.25823848649225</v>
      </c>
      <c r="AJ87" s="27">
        <f t="shared" si="25"/>
        <v>3.5342917352885171E-4</v>
      </c>
      <c r="AK87" s="29">
        <f t="shared" si="26"/>
        <v>0.125</v>
      </c>
      <c r="AL87" s="29">
        <f t="shared" si="27"/>
        <v>265.2579145097875</v>
      </c>
      <c r="AN87" s="26">
        <f t="shared" si="28"/>
        <v>2122.065907891938</v>
      </c>
      <c r="AO87" s="27">
        <f t="shared" si="29"/>
        <v>2.8274333882308138E-2</v>
      </c>
      <c r="AP87" s="29">
        <f t="shared" si="30"/>
        <v>10</v>
      </c>
      <c r="AQ87" s="29" t="e">
        <f t="shared" si="31"/>
        <v>#N/A</v>
      </c>
      <c r="AS87" s="26">
        <f t="shared" si="32"/>
        <v>32152.513755938453</v>
      </c>
      <c r="AT87" s="27">
        <f t="shared" si="33"/>
        <v>1.4137166941154069E-2</v>
      </c>
      <c r="AU87" s="29">
        <f t="shared" si="34"/>
        <v>5</v>
      </c>
      <c r="AV87" s="29" t="e">
        <f t="shared" si="35"/>
        <v>#N/A</v>
      </c>
      <c r="AX87" s="26">
        <f t="shared" si="36"/>
        <v>5643.7923082232392</v>
      </c>
      <c r="AY87" s="27">
        <f t="shared" si="37"/>
        <v>3.5342917352885171E-4</v>
      </c>
      <c r="AZ87" s="29">
        <f t="shared" si="38"/>
        <v>0.125</v>
      </c>
      <c r="BA87" s="29">
        <f t="shared" si="39"/>
        <v>5643.7919561783301</v>
      </c>
      <c r="BC87" s="30"/>
      <c r="BD87" s="11"/>
      <c r="BE87" s="11"/>
      <c r="BH87" s="11"/>
      <c r="BI87" s="11"/>
    </row>
    <row r="88" spans="2:61" x14ac:dyDescent="0.3">
      <c r="B88" s="2" t="s">
        <v>429</v>
      </c>
      <c r="C88" s="47">
        <f>1000/(2*PI()*$C$33*1000*C84*0.000001)</f>
        <v>15.915494309189535</v>
      </c>
      <c r="D88" s="4" t="s">
        <v>425</v>
      </c>
      <c r="Z88" s="22">
        <v>8000</v>
      </c>
      <c r="AA88" s="4" cm="1">
        <f t="array" ref="AA88">_xlfn.IFS(AND($C$64="Yes",$C$78="Yes",$C$92="Yes",$C$50="Yes"),1/((1/AG88)+(1/AL88)+(1/AQ88)+(1/AV88)+(1/BA88)),AND($C$64="Yes",$C$78="Yes",$C$92="Yes",$C$50="No"),1/((1/AG88)+(1/AL88)+(1/AQ88)+(1/AV88)),AND($C$64="Yes",$C$78="Yes",$C$92="No",$C$50="No"),1/((1/AG88)+(1/AL88)+(1/AQ88)),AND($C$64="Yes",$C$78="No",$C$92="No",$C$50="No"),1/((1/AG88)+(1/AL88)),AND($C$64="No",$C$78="No",$C$92="No",$C$50="No"),1/((1/AG88)),AND($C$64="Yes",$C$78="No",$C$92="No",$C$50="Yes"),1/((1/AG88)+(1/AL88)+(1/BA88)), AND($C$64="No",$C$78="No",$C$92="No",$C$50="Yes"),1/((1/AG88)+(1/BA88)), AND($C$64="No",$C$78="Yes",$C$92="No",$C$50="Yes"),1/((1/AG88)+(1/AQ88)+(1/BA88)))</f>
        <v>3.7069366695159429</v>
      </c>
      <c r="AB88" s="28">
        <f t="shared" si="19"/>
        <v>0.79935871743486953</v>
      </c>
      <c r="AD88" s="26">
        <f t="shared" si="21"/>
        <v>3.767872705774038</v>
      </c>
      <c r="AE88" s="27">
        <f t="shared" si="22"/>
        <v>1.0471975511965978E-2</v>
      </c>
      <c r="AF88" s="28">
        <f t="shared" si="23"/>
        <v>0.25</v>
      </c>
      <c r="AG88" s="29">
        <f>SQRT(AF88^(2)+ABS(AD88-AE88)^(2))</f>
        <v>3.7657084655843915</v>
      </c>
      <c r="AH88" s="11"/>
      <c r="AI88" s="26">
        <f t="shared" si="24"/>
        <v>248.67959858108651</v>
      </c>
      <c r="AJ88" s="27">
        <f t="shared" si="25"/>
        <v>3.7699111843077514E-4</v>
      </c>
      <c r="AK88" s="29">
        <f t="shared" si="26"/>
        <v>0.125</v>
      </c>
      <c r="AL88" s="29">
        <f t="shared" si="27"/>
        <v>248.67925300594027</v>
      </c>
      <c r="AN88" s="26">
        <f t="shared" si="28"/>
        <v>1989.4367886486921</v>
      </c>
      <c r="AO88" s="27">
        <f t="shared" si="29"/>
        <v>3.0159289474462014E-2</v>
      </c>
      <c r="AP88" s="29">
        <f t="shared" si="30"/>
        <v>10</v>
      </c>
      <c r="AQ88" s="29" t="e">
        <f t="shared" si="31"/>
        <v>#N/A</v>
      </c>
      <c r="AS88" s="26">
        <f t="shared" si="32"/>
        <v>30142.981646192304</v>
      </c>
      <c r="AT88" s="27">
        <f t="shared" si="33"/>
        <v>1.5079644737231007E-2</v>
      </c>
      <c r="AU88" s="29">
        <f t="shared" si="34"/>
        <v>5</v>
      </c>
      <c r="AV88" s="29" t="e">
        <f t="shared" si="35"/>
        <v>#N/A</v>
      </c>
      <c r="AX88" s="26">
        <f t="shared" si="36"/>
        <v>5291.0552889592873</v>
      </c>
      <c r="AY88" s="27">
        <f t="shared" si="37"/>
        <v>3.7699111843077514E-4</v>
      </c>
      <c r="AZ88" s="29">
        <f t="shared" si="38"/>
        <v>0.125</v>
      </c>
      <c r="BA88" s="29">
        <f t="shared" si="39"/>
        <v>5291.0549134447183</v>
      </c>
      <c r="BB88" s="11"/>
      <c r="BC88" s="11"/>
    </row>
    <row r="89" spans="2:61" x14ac:dyDescent="0.3">
      <c r="B89" s="2" t="s">
        <v>428</v>
      </c>
      <c r="C89" s="47">
        <f>2*PI()*C86*0.000000001*$C$33*1000*1000</f>
        <v>0.94247779607693793</v>
      </c>
      <c r="D89" s="4" t="s">
        <v>425</v>
      </c>
      <c r="Z89" s="22">
        <v>8500</v>
      </c>
      <c r="AA89" s="4" cm="1">
        <f t="array" ref="AA89">_xlfn.IFS(AND($C$64="Yes",$C$78="Yes",$C$92="Yes",$C$50="Yes"),1/((1/AG89)+(1/AL89)+(1/AQ89)+(1/AV89)+(1/BA89)),AND($C$64="Yes",$C$78="Yes",$C$92="Yes",$C$50="No"),1/((1/AG89)+(1/AL89)+(1/AQ89)+(1/AV89)),AND($C$64="Yes",$C$78="Yes",$C$92="No",$C$50="No"),1/((1/AG89)+(1/AL89)+(1/AQ89)),AND($C$64="Yes",$C$78="No",$C$92="No",$C$50="No"),1/((1/AG89)+(1/AL89)),AND($C$64="No",$C$78="No",$C$92="No",$C$50="No"),1/((1/AG89)),AND($C$64="Yes",$C$78="No",$C$92="No",$C$50="Yes"),1/((1/AG89)+(1/AL89)+(1/BA89)), AND($C$64="No",$C$78="No",$C$92="No",$C$50="Yes"),1/((1/AG89)+(1/BA89)), AND($C$64="No",$C$78="Yes",$C$92="No",$C$50="Yes"),1/((1/AG89)+(1/AQ89)+(1/BA89)))</f>
        <v>3.4886289705796352</v>
      </c>
      <c r="AB89" s="28">
        <f t="shared" si="19"/>
        <v>0.79935871743486953</v>
      </c>
      <c r="AD89" s="26">
        <f t="shared" si="21"/>
        <v>3.5462331348461524</v>
      </c>
      <c r="AE89" s="27">
        <f t="shared" si="22"/>
        <v>1.1126473981463851E-2</v>
      </c>
      <c r="AF89" s="28">
        <f t="shared" si="23"/>
        <v>0.25</v>
      </c>
      <c r="AG89" s="29">
        <f>SQRT(AF89^(2)+ABS(AD89-AE89)^(2))</f>
        <v>3.5439355388733991</v>
      </c>
      <c r="AH89" s="11"/>
      <c r="AI89" s="26">
        <f t="shared" si="24"/>
        <v>234.05138689984611</v>
      </c>
      <c r="AJ89" s="27">
        <f t="shared" si="25"/>
        <v>4.0055306333269862E-4</v>
      </c>
      <c r="AK89" s="29">
        <f t="shared" si="26"/>
        <v>0.125</v>
      </c>
      <c r="AL89" s="29">
        <f t="shared" si="27"/>
        <v>234.05101972625945</v>
      </c>
      <c r="AN89" s="26">
        <f t="shared" si="28"/>
        <v>1872.4110951987689</v>
      </c>
      <c r="AO89" s="27">
        <f t="shared" si="29"/>
        <v>3.2044245066615892E-2</v>
      </c>
      <c r="AP89" s="29">
        <f t="shared" si="30"/>
        <v>10</v>
      </c>
      <c r="AQ89" s="29" t="e">
        <f t="shared" si="31"/>
        <v>#N/A</v>
      </c>
      <c r="AS89" s="26">
        <f t="shared" si="32"/>
        <v>28369.865078769224</v>
      </c>
      <c r="AT89" s="27">
        <f t="shared" si="33"/>
        <v>1.6022122533307946E-2</v>
      </c>
      <c r="AU89" s="29">
        <f t="shared" si="34"/>
        <v>5</v>
      </c>
      <c r="AV89" s="29" t="e">
        <f t="shared" si="35"/>
        <v>#N/A</v>
      </c>
      <c r="AX89" s="26">
        <f t="shared" si="36"/>
        <v>4979.8167425499178</v>
      </c>
      <c r="AY89" s="27">
        <f t="shared" si="37"/>
        <v>4.0055306333269862E-4</v>
      </c>
      <c r="AZ89" s="29">
        <f t="shared" si="38"/>
        <v>0.125</v>
      </c>
      <c r="BA89" s="29">
        <f t="shared" si="39"/>
        <v>4979.816343565687</v>
      </c>
      <c r="BB89" s="11"/>
      <c r="BE89" s="11"/>
      <c r="BF89" s="11"/>
    </row>
    <row r="90" spans="2:61" x14ac:dyDescent="0.3">
      <c r="B90" s="2" t="s">
        <v>439</v>
      </c>
      <c r="C90" s="47">
        <f>SQRT(C85^(2)+ABS(C88-C89)^(2))</f>
        <v>15.785791823723716</v>
      </c>
      <c r="D90" s="4" t="s">
        <v>425</v>
      </c>
      <c r="Z90" s="22">
        <v>9000</v>
      </c>
      <c r="AA90" s="4" cm="1">
        <f t="array" ref="AA90">_xlfn.IFS(AND($C$64="Yes",$C$78="Yes",$C$92="Yes",$C$50="Yes"),1/((1/AG90)+(1/AL90)+(1/AQ90)+(1/AV90)+(1/BA90)),AND($C$64="Yes",$C$78="Yes",$C$92="Yes",$C$50="No"),1/((1/AG90)+(1/AL90)+(1/AQ90)+(1/AV90)),AND($C$64="Yes",$C$78="Yes",$C$92="No",$C$50="No"),1/((1/AG90)+(1/AL90)+(1/AQ90)),AND($C$64="Yes",$C$78="No",$C$92="No",$C$50="No"),1/((1/AG90)+(1/AL90)),AND($C$64="No",$C$78="No",$C$92="No",$C$50="No"),1/((1/AG90)),AND($C$64="Yes",$C$78="No",$C$92="No",$C$50="Yes"),1/((1/AG90)+(1/AL90)+(1/BA90)), AND($C$64="No",$C$78="No",$C$92="No",$C$50="Yes"),1/((1/AG90)+(1/BA90)), AND($C$64="No",$C$78="Yes",$C$92="No",$C$50="Yes"),1/((1/AG90)+(1/AQ90)+(1/BA90)))</f>
        <v>3.2945636597810379</v>
      </c>
      <c r="AB90" s="28">
        <f t="shared" si="19"/>
        <v>0.79935871743486953</v>
      </c>
      <c r="AD90" s="26">
        <f t="shared" si="21"/>
        <v>3.3492201829102561</v>
      </c>
      <c r="AE90" s="27">
        <f t="shared" si="22"/>
        <v>1.1780972450961725E-2</v>
      </c>
      <c r="AF90" s="28">
        <f t="shared" si="23"/>
        <v>0.25</v>
      </c>
      <c r="AG90" s="29">
        <f>SQRT(AF90^(2)+ABS(AD90-AE90)^(2))</f>
        <v>3.3467895786127873</v>
      </c>
      <c r="AH90" s="11"/>
      <c r="AI90" s="26">
        <f t="shared" si="24"/>
        <v>221.04853207207685</v>
      </c>
      <c r="AJ90" s="27">
        <f t="shared" si="25"/>
        <v>4.2411500823462211E-4</v>
      </c>
      <c r="AK90" s="29">
        <f t="shared" si="26"/>
        <v>0.125</v>
      </c>
      <c r="AL90" s="29">
        <f t="shared" si="27"/>
        <v>221.04814330005095</v>
      </c>
      <c r="AN90" s="26">
        <f t="shared" si="28"/>
        <v>1768.3882565766148</v>
      </c>
      <c r="AO90" s="27">
        <f t="shared" si="29"/>
        <v>3.3929200658769768E-2</v>
      </c>
      <c r="AP90" s="29">
        <f t="shared" si="30"/>
        <v>10</v>
      </c>
      <c r="AQ90" s="29" t="e">
        <f t="shared" si="31"/>
        <v>#N/A</v>
      </c>
      <c r="AS90" s="26">
        <f t="shared" si="32"/>
        <v>26793.76146328204</v>
      </c>
      <c r="AT90" s="27">
        <f t="shared" si="33"/>
        <v>1.6964600329384884E-2</v>
      </c>
      <c r="AU90" s="29">
        <f t="shared" si="34"/>
        <v>5</v>
      </c>
      <c r="AV90" s="29" t="e">
        <f t="shared" si="35"/>
        <v>#N/A</v>
      </c>
      <c r="AX90" s="26">
        <f t="shared" si="36"/>
        <v>4703.1602568526996</v>
      </c>
      <c r="AY90" s="27">
        <f t="shared" si="37"/>
        <v>4.2411500823462211E-4</v>
      </c>
      <c r="AZ90" s="29">
        <f t="shared" si="38"/>
        <v>0.125</v>
      </c>
      <c r="BA90" s="29">
        <f t="shared" si="39"/>
        <v>4703.1598343988089</v>
      </c>
      <c r="BB90" s="11"/>
      <c r="BE90" s="11"/>
      <c r="BF90" s="11"/>
    </row>
    <row r="91" spans="2:61" x14ac:dyDescent="0.3">
      <c r="Z91" s="22">
        <v>9500</v>
      </c>
      <c r="AA91" s="4" cm="1">
        <f t="array" ref="AA91">_xlfn.IFS(AND($C$64="Yes",$C$78="Yes",$C$92="Yes",$C$50="Yes"),1/((1/AG91)+(1/AL91)+(1/AQ91)+(1/AV91)+(1/BA91)),AND($C$64="Yes",$C$78="Yes",$C$92="Yes",$C$50="No"),1/((1/AG91)+(1/AL91)+(1/AQ91)+(1/AV91)),AND($C$64="Yes",$C$78="Yes",$C$92="No",$C$50="No"),1/((1/AG91)+(1/AL91)+(1/AQ91)),AND($C$64="Yes",$C$78="No",$C$92="No",$C$50="No"),1/((1/AG91)+(1/AL91)),AND($C$64="No",$C$78="No",$C$92="No",$C$50="No"),1/((1/AG91)),AND($C$64="Yes",$C$78="No",$C$92="No",$C$50="Yes"),1/((1/AG91)+(1/AL91)+(1/BA91)), AND($C$64="No",$C$78="No",$C$92="No",$C$50="Yes"),1/((1/AG91)+(1/BA91)), AND($C$64="No",$C$78="Yes",$C$92="No",$C$50="Yes"),1/((1/AG91)+(1/AQ91)+(1/BA91)))</f>
        <v>3.1209130645897938</v>
      </c>
      <c r="AB91" s="28">
        <f t="shared" si="19"/>
        <v>0.79935871743486953</v>
      </c>
      <c r="AD91" s="26">
        <f t="shared" si="21"/>
        <v>3.1729454364412946</v>
      </c>
      <c r="AE91" s="27">
        <f t="shared" si="22"/>
        <v>1.2435470920459596E-2</v>
      </c>
      <c r="AF91" s="28">
        <f t="shared" si="23"/>
        <v>0.25</v>
      </c>
      <c r="AG91" s="29">
        <f>SQRT(AF91^(2)+ABS(AD91-AE91)^(2))</f>
        <v>3.1703821918116608</v>
      </c>
      <c r="AH91" s="11"/>
      <c r="AI91" s="26">
        <f t="shared" si="24"/>
        <v>209.41439880512547</v>
      </c>
      <c r="AJ91" s="27">
        <f t="shared" si="25"/>
        <v>4.4767695313654553E-4</v>
      </c>
      <c r="AK91" s="29">
        <f t="shared" si="26"/>
        <v>0.125</v>
      </c>
      <c r="AL91" s="29">
        <f t="shared" si="27"/>
        <v>209.41398843466152</v>
      </c>
      <c r="AN91" s="26">
        <f t="shared" si="28"/>
        <v>1675.3151904410038</v>
      </c>
      <c r="AO91" s="27">
        <f t="shared" si="29"/>
        <v>3.5814156250923636E-2</v>
      </c>
      <c r="AP91" s="29">
        <f t="shared" si="30"/>
        <v>10</v>
      </c>
      <c r="AQ91" s="29" t="e">
        <f t="shared" si="31"/>
        <v>#N/A</v>
      </c>
      <c r="AS91" s="26">
        <f t="shared" si="32"/>
        <v>25383.563491530356</v>
      </c>
      <c r="AT91" s="27">
        <f t="shared" si="33"/>
        <v>1.7907078125461818E-2</v>
      </c>
      <c r="AU91" s="29">
        <f t="shared" si="34"/>
        <v>5</v>
      </c>
      <c r="AV91" s="29" t="e">
        <f t="shared" si="35"/>
        <v>#N/A</v>
      </c>
      <c r="AX91" s="26">
        <f t="shared" si="36"/>
        <v>4455.6255064920306</v>
      </c>
      <c r="AY91" s="27">
        <f t="shared" si="37"/>
        <v>4.4767695313654553E-4</v>
      </c>
      <c r="AZ91" s="29">
        <f t="shared" si="38"/>
        <v>0.125</v>
      </c>
      <c r="BA91" s="29">
        <f t="shared" si="39"/>
        <v>4455.62506056848</v>
      </c>
      <c r="BB91" s="11"/>
      <c r="BE91" s="11"/>
      <c r="BF91" s="11"/>
    </row>
    <row r="92" spans="2:61" ht="15.6" x14ac:dyDescent="0.35">
      <c r="B92" s="2" t="s">
        <v>77</v>
      </c>
      <c r="C92" s="55" t="s">
        <v>47</v>
      </c>
      <c r="Z92" s="22">
        <v>10000</v>
      </c>
      <c r="AA92" s="4" cm="1">
        <f t="array" ref="AA92">_xlfn.IFS(AND($C$64="Yes",$C$78="Yes",$C$92="Yes",$C$50="Yes"),1/((1/AG92)+(1/AL92)+(1/AQ92)+(1/AV92)+(1/BA92)),AND($C$64="Yes",$C$78="Yes",$C$92="Yes",$C$50="No"),1/((1/AG92)+(1/AL92)+(1/AQ92)+(1/AV92)),AND($C$64="Yes",$C$78="Yes",$C$92="No",$C$50="No"),1/((1/AG92)+(1/AL92)+(1/AQ92)),AND($C$64="Yes",$C$78="No",$C$92="No",$C$50="No"),1/((1/AG92)+(1/AL92)),AND($C$64="No",$C$78="No",$C$92="No",$C$50="No"),1/((1/AG92)),AND($C$64="Yes",$C$78="No",$C$92="No",$C$50="Yes"),1/((1/AG92)+(1/AL92)+(1/BA92)), AND($C$64="No",$C$78="No",$C$92="No",$C$50="Yes"),1/((1/AG92)+(1/BA92)), AND($C$64="No",$C$78="Yes",$C$92="No",$C$50="Yes"),1/((1/AG92)+(1/AQ92)+(1/BA92)))</f>
        <v>2.9646150509726521</v>
      </c>
      <c r="AB92" s="28">
        <f t="shared" si="19"/>
        <v>0.79935871743486953</v>
      </c>
      <c r="AD92" s="26">
        <f t="shared" si="21"/>
        <v>3.0142981646192299</v>
      </c>
      <c r="AE92" s="27">
        <f t="shared" si="22"/>
        <v>1.3089969389957472E-2</v>
      </c>
      <c r="AF92" s="28">
        <f t="shared" si="23"/>
        <v>0.25</v>
      </c>
      <c r="AG92" s="29">
        <f t="shared" si="20"/>
        <v>3.0116026682003301</v>
      </c>
      <c r="AH92" s="11"/>
      <c r="AI92" s="26">
        <f t="shared" si="24"/>
        <v>198.94367886486918</v>
      </c>
      <c r="AJ92" s="27">
        <f t="shared" si="25"/>
        <v>4.7123889803846896E-4</v>
      </c>
      <c r="AK92" s="29">
        <f t="shared" si="26"/>
        <v>0.125</v>
      </c>
      <c r="AL92" s="29">
        <f t="shared" si="27"/>
        <v>198.94324689596846</v>
      </c>
      <c r="AN92" s="26">
        <f t="shared" si="28"/>
        <v>1591.5494309189535</v>
      </c>
      <c r="AO92" s="27">
        <f t="shared" si="29"/>
        <v>3.7699111843077518E-2</v>
      </c>
      <c r="AP92" s="29">
        <f t="shared" si="30"/>
        <v>10</v>
      </c>
      <c r="AQ92" s="29" t="e">
        <f t="shared" si="31"/>
        <v>#N/A</v>
      </c>
      <c r="AS92" s="26">
        <f t="shared" si="32"/>
        <v>24114.385316953842</v>
      </c>
      <c r="AT92" s="27">
        <f t="shared" si="33"/>
        <v>1.8849555921538759E-2</v>
      </c>
      <c r="AU92" s="29">
        <f t="shared" si="34"/>
        <v>5</v>
      </c>
      <c r="AV92" s="29" t="e">
        <f t="shared" si="35"/>
        <v>#N/A</v>
      </c>
      <c r="AX92" s="26">
        <f t="shared" si="36"/>
        <v>4232.8442311674289</v>
      </c>
      <c r="AY92" s="27">
        <f t="shared" si="37"/>
        <v>4.7123889803846896E-4</v>
      </c>
      <c r="AZ92" s="29">
        <f t="shared" si="38"/>
        <v>0.125</v>
      </c>
      <c r="BA92" s="29">
        <f t="shared" si="39"/>
        <v>4232.8437617742165</v>
      </c>
      <c r="BC92" s="30"/>
      <c r="BD92" s="11"/>
      <c r="BE92" s="11"/>
      <c r="BH92" s="11"/>
      <c r="BI92" s="11"/>
    </row>
    <row r="93" spans="2:61" ht="15.6" x14ac:dyDescent="0.35">
      <c r="B93" s="2" t="s">
        <v>83</v>
      </c>
      <c r="C93" s="55">
        <v>0.33</v>
      </c>
      <c r="D93" s="10" t="s">
        <v>8</v>
      </c>
      <c r="Z93" s="22">
        <v>15000</v>
      </c>
      <c r="AA93" s="4" cm="1">
        <f t="array" ref="AA93">_xlfn.IFS(AND($C$64="Yes",$C$78="Yes",$C$92="Yes",$C$50="Yes"),1/((1/AG93)+(1/AL93)+(1/AQ93)+(1/AV93)+(1/BA93)),AND($C$64="Yes",$C$78="Yes",$C$92="Yes",$C$50="No"),1/((1/AG93)+(1/AL93)+(1/AQ93)+(1/AV93)),AND($C$64="Yes",$C$78="Yes",$C$92="No",$C$50="No"),1/((1/AG93)+(1/AL93)+(1/AQ93)),AND($C$64="Yes",$C$78="No",$C$92="No",$C$50="No"),1/((1/AG93)+(1/AL93)),AND($C$64="No",$C$78="No",$C$92="No",$C$50="No"),1/((1/AG93)),AND($C$64="Yes",$C$78="No",$C$92="No",$C$50="Yes"),1/((1/AG93)+(1/AL93)+(1/BA93)), AND($C$64="No",$C$78="No",$C$92="No",$C$50="Yes"),1/((1/AG93)+(1/BA93)), AND($C$64="No",$C$78="Yes",$C$92="No",$C$50="Yes"),1/((1/AG93)+(1/AQ93)+(1/BA93)))</f>
        <v>1.9742827680343895</v>
      </c>
      <c r="AB93" s="28">
        <f t="shared" si="19"/>
        <v>0.79935871743486953</v>
      </c>
      <c r="AD93" s="26">
        <f t="shared" ref="AD93:AD124" si="40">1000/(2*PI()*$Z93*$C$41*$C$37*0.000001)</f>
        <v>2.0095321097461532</v>
      </c>
      <c r="AE93" s="27">
        <f t="shared" ref="AE93:AE124" si="41">2*PI()*$Z93*((0.000000001*$C$39)/$C$41)*1000</f>
        <v>1.9634954084936207E-2</v>
      </c>
      <c r="AF93" s="28">
        <f t="shared" ref="AF93:AF124" si="42">($C$38)/$C$41</f>
        <v>0.25</v>
      </c>
      <c r="AG93" s="29">
        <f t="shared" si="20"/>
        <v>2.0055399996281804</v>
      </c>
      <c r="AH93" s="11"/>
      <c r="AI93" s="26">
        <f t="shared" ref="AI93:AI124" si="43">1000/(2*PI()*$Z93*$C$69*$C$65*0.000001)</f>
        <v>132.62911924324612</v>
      </c>
      <c r="AJ93" s="27">
        <f t="shared" ref="AJ93:AJ124" si="44">2*PI()*$Z93*((0.000000001*$C$67)/$C$69)*1000</f>
        <v>7.0685834705770342E-4</v>
      </c>
      <c r="AK93" s="29">
        <f t="shared" ref="AK93:AK124" si="45">($C$66)/$C$69</f>
        <v>0.125</v>
      </c>
      <c r="AL93" s="29">
        <f t="shared" ref="AL93:AL124" si="46">IF($C$64="Yes", SQRT(AK93^(2)+ABS(AI93-AJ93)^(2)), NA())</f>
        <v>132.62847129006218</v>
      </c>
      <c r="AN93" s="26">
        <f t="shared" ref="AN93:AN124" si="47">1000/(2*PI()*$Z93*$C$82*$C$79*0.000001)</f>
        <v>1061.032953945969</v>
      </c>
      <c r="AO93" s="27">
        <f t="shared" ref="AO93:AO124" si="48">2*PI()*$Z93*((0.000000001*$C$81)/$C$82)*1000</f>
        <v>5.6548667764616277E-2</v>
      </c>
      <c r="AP93" s="29">
        <f t="shared" ref="AP93:AP124" si="49">($C$80)/$C$82</f>
        <v>10</v>
      </c>
      <c r="AQ93" s="29" t="e">
        <f t="shared" ref="AQ93:AQ124" si="50">IF($C$78="Yes", SQRT(AP93^(2)+ABS(AN93-AO93)^(2)), NA())</f>
        <v>#N/A</v>
      </c>
      <c r="AS93" s="26">
        <f t="shared" ref="AS93:AS124" si="51">1000/(2*PI()*$Z93*$C$97*$C$93*0.000001)</f>
        <v>16076.256877969226</v>
      </c>
      <c r="AT93" s="27">
        <f t="shared" ref="AT93:AT124" si="52">2*PI()*$Z93*((0.000000001*$C$95)/$C$97)*1000</f>
        <v>2.8274333882308138E-2</v>
      </c>
      <c r="AU93" s="29">
        <f t="shared" ref="AU93:AU124" si="53">($C$94)/$C$97</f>
        <v>5</v>
      </c>
      <c r="AV93" s="29" t="e">
        <f t="shared" ref="AV93:AV124" si="54">IF($C$92="Yes", SQRT(AU93^(2)+ABS(AS93-AT93)^(2)), NA())</f>
        <v>#N/A</v>
      </c>
      <c r="AX93" s="26">
        <f t="shared" ref="AX93:AX124" si="55">1000/(2*PI()*$Z93*$C$55*$C$51*0.000001)</f>
        <v>2821.8961541116196</v>
      </c>
      <c r="AY93" s="27">
        <f t="shared" ref="AY93:AY124" si="56">2*PI()*$Z93*((0.000000001*$C$53)/$C$55)*1000</f>
        <v>7.0685834705770342E-4</v>
      </c>
      <c r="AZ93" s="29">
        <f t="shared" ref="AZ93:AZ124" si="57">($C$52)/$C$55</f>
        <v>0.125</v>
      </c>
      <c r="BA93" s="29">
        <f t="shared" ref="BA93:BA124" si="58">IF($C$50="Yes", SQRT(AZ93^(2)+ABS(AX93-AY93)^(2)), NA())</f>
        <v>2821.8954500218015</v>
      </c>
      <c r="BC93" s="30"/>
      <c r="BD93" s="11"/>
      <c r="BE93" s="11"/>
      <c r="BH93" s="11"/>
      <c r="BI93" s="11"/>
    </row>
    <row r="94" spans="2:61" x14ac:dyDescent="0.3">
      <c r="B94" s="2" t="s">
        <v>78</v>
      </c>
      <c r="C94" s="55">
        <v>10</v>
      </c>
      <c r="D94" s="4" t="s">
        <v>21</v>
      </c>
      <c r="Z94" s="22">
        <v>20000</v>
      </c>
      <c r="AA94" s="4" cm="1">
        <f t="array" ref="AA94">_xlfn.IFS(AND($C$64="Yes",$C$78="Yes",$C$92="Yes",$C$50="Yes"),1/((1/AG94)+(1/AL94)+(1/AQ94)+(1/AV94)+(1/BA94)),AND($C$64="Yes",$C$78="Yes",$C$92="Yes",$C$50="No"),1/((1/AG94)+(1/AL94)+(1/AQ94)+(1/AV94)),AND($C$64="Yes",$C$78="Yes",$C$92="No",$C$50="No"),1/((1/AG94)+(1/AL94)+(1/AQ94)),AND($C$64="Yes",$C$78="No",$C$92="No",$C$50="No"),1/((1/AG94)+(1/AL94)),AND($C$64="No",$C$78="No",$C$92="No",$C$50="No"),1/((1/AG94)),AND($C$64="Yes",$C$78="No",$C$92="No",$C$50="Yes"),1/((1/AG94)+(1/AL94)+(1/BA94)), AND($C$64="No",$C$78="No",$C$92="No",$C$50="Yes"),1/((1/AG94)+(1/BA94)), AND($C$64="No",$C$78="Yes",$C$92="No",$C$50="Yes"),1/((1/AG94)+(1/AQ94)+(1/BA94)))</f>
        <v>1.4785479756657118</v>
      </c>
      <c r="AB94" s="28">
        <f t="shared" ref="AB94:AB157" si="59">$C$29</f>
        <v>0.79935871743486953</v>
      </c>
      <c r="AD94" s="26">
        <f t="shared" si="40"/>
        <v>1.507149082309615</v>
      </c>
      <c r="AE94" s="27">
        <f t="shared" si="41"/>
        <v>2.6179938779914945E-2</v>
      </c>
      <c r="AF94" s="28">
        <f t="shared" si="42"/>
        <v>0.25</v>
      </c>
      <c r="AG94" s="29">
        <f t="shared" ref="AG94:AG102" si="60">SQRT(AF94^(2)+ABS(AD94-AE94)^(2))</f>
        <v>1.5019219700394204</v>
      </c>
      <c r="AH94" s="11"/>
      <c r="AI94" s="26">
        <f t="shared" si="43"/>
        <v>99.471839432434592</v>
      </c>
      <c r="AJ94" s="27">
        <f t="shared" si="44"/>
        <v>9.4247779607693793E-4</v>
      </c>
      <c r="AK94" s="29">
        <f t="shared" si="45"/>
        <v>0.125</v>
      </c>
      <c r="AL94" s="29">
        <f t="shared" si="46"/>
        <v>99.470975495168005</v>
      </c>
      <c r="AN94" s="26">
        <f t="shared" si="47"/>
        <v>795.77471545947674</v>
      </c>
      <c r="AO94" s="27">
        <f t="shared" si="48"/>
        <v>7.5398223686155036E-2</v>
      </c>
      <c r="AP94" s="29">
        <f t="shared" si="49"/>
        <v>10</v>
      </c>
      <c r="AQ94" s="29" t="e">
        <f t="shared" si="50"/>
        <v>#N/A</v>
      </c>
      <c r="AS94" s="26">
        <f t="shared" si="51"/>
        <v>12057.192658476921</v>
      </c>
      <c r="AT94" s="27">
        <f t="shared" si="52"/>
        <v>3.7699111843077518E-2</v>
      </c>
      <c r="AU94" s="29">
        <f t="shared" si="53"/>
        <v>5</v>
      </c>
      <c r="AV94" s="29" t="e">
        <f t="shared" si="54"/>
        <v>#N/A</v>
      </c>
      <c r="AX94" s="26">
        <f t="shared" si="55"/>
        <v>2116.4221155837145</v>
      </c>
      <c r="AY94" s="27">
        <f t="shared" si="56"/>
        <v>9.4247779607693793E-4</v>
      </c>
      <c r="AZ94" s="29">
        <f t="shared" si="57"/>
        <v>0.125</v>
      </c>
      <c r="BA94" s="29">
        <f t="shared" si="58"/>
        <v>2116.4211767972915</v>
      </c>
      <c r="BC94" s="30"/>
      <c r="BD94" s="11"/>
      <c r="BE94" s="11"/>
      <c r="BH94" s="11"/>
      <c r="BI94" s="11"/>
    </row>
    <row r="95" spans="2:61" x14ac:dyDescent="0.3">
      <c r="B95" s="2" t="s">
        <v>79</v>
      </c>
      <c r="C95" s="55">
        <v>0.6</v>
      </c>
      <c r="D95" s="4" t="s">
        <v>5</v>
      </c>
      <c r="Z95" s="22">
        <v>25000</v>
      </c>
      <c r="AA95" s="4" cm="1">
        <f t="array" ref="AA95">_xlfn.IFS(AND($C$64="Yes",$C$78="Yes",$C$92="Yes",$C$50="Yes"),1/((1/AG95)+(1/AL95)+(1/AQ95)+(1/AV95)+(1/BA95)),AND($C$64="Yes",$C$78="Yes",$C$92="Yes",$C$50="No"),1/((1/AG95)+(1/AL95)+(1/AQ95)+(1/AV95)),AND($C$64="Yes",$C$78="Yes",$C$92="No",$C$50="No"),1/((1/AG95)+(1/AL95)+(1/AQ95)),AND($C$64="Yes",$C$78="No",$C$92="No",$C$50="No"),1/((1/AG95)+(1/AL95)),AND($C$64="No",$C$78="No",$C$92="No",$C$50="No"),1/((1/AG95)),AND($C$64="Yes",$C$78="No",$C$92="No",$C$50="Yes"),1/((1/AG95)+(1/AL95)+(1/BA95)), AND($C$64="No",$C$78="No",$C$92="No",$C$50="Yes"),1/((1/AG95)+(1/BA95)), AND($C$64="No",$C$78="Yes",$C$92="No",$C$50="Yes"),1/((1/AG95)+(1/AQ95)+(1/BA95)))</f>
        <v>1.180708240159418</v>
      </c>
      <c r="AB95" s="28">
        <f t="shared" si="59"/>
        <v>0.79935871743486953</v>
      </c>
      <c r="AD95" s="26">
        <f t="shared" si="40"/>
        <v>1.2057192658476921</v>
      </c>
      <c r="AE95" s="27">
        <f t="shared" si="41"/>
        <v>3.2724923474893676E-2</v>
      </c>
      <c r="AF95" s="28">
        <f t="shared" si="42"/>
        <v>0.25</v>
      </c>
      <c r="AG95" s="29">
        <f t="shared" si="60"/>
        <v>1.1993397046869556</v>
      </c>
      <c r="AH95" s="11"/>
      <c r="AI95" s="26">
        <f t="shared" si="43"/>
        <v>79.577471545947688</v>
      </c>
      <c r="AJ95" s="27">
        <f t="shared" si="44"/>
        <v>1.1780972450961724E-3</v>
      </c>
      <c r="AK95" s="29">
        <f t="shared" si="45"/>
        <v>0.125</v>
      </c>
      <c r="AL95" s="29">
        <f t="shared" si="46"/>
        <v>79.576391624865892</v>
      </c>
      <c r="AN95" s="26">
        <f t="shared" si="47"/>
        <v>636.6197723675815</v>
      </c>
      <c r="AO95" s="27">
        <f t="shared" si="48"/>
        <v>9.4247779607693788E-2</v>
      </c>
      <c r="AP95" s="29">
        <f t="shared" si="49"/>
        <v>10</v>
      </c>
      <c r="AQ95" s="29" t="e">
        <f t="shared" si="50"/>
        <v>#N/A</v>
      </c>
      <c r="AS95" s="26">
        <f t="shared" si="51"/>
        <v>9645.7541267815359</v>
      </c>
      <c r="AT95" s="27">
        <f t="shared" si="52"/>
        <v>4.7123889803846894E-2</v>
      </c>
      <c r="AU95" s="29">
        <f t="shared" si="53"/>
        <v>5</v>
      </c>
      <c r="AV95" s="29" t="e">
        <f t="shared" si="54"/>
        <v>#N/A</v>
      </c>
      <c r="AX95" s="26">
        <f t="shared" si="55"/>
        <v>1693.1376924669717</v>
      </c>
      <c r="AY95" s="27">
        <f t="shared" si="56"/>
        <v>1.1780972450961724E-3</v>
      </c>
      <c r="AZ95" s="29">
        <f t="shared" si="57"/>
        <v>0.125</v>
      </c>
      <c r="BA95" s="29">
        <f t="shared" si="58"/>
        <v>1693.1365189839439</v>
      </c>
      <c r="BC95" s="30"/>
      <c r="BD95" s="11"/>
      <c r="BE95" s="11"/>
      <c r="BH95" s="11"/>
      <c r="BI95" s="11"/>
    </row>
    <row r="96" spans="2:61" x14ac:dyDescent="0.3">
      <c r="B96" s="2" t="s">
        <v>62</v>
      </c>
      <c r="C96" s="55">
        <v>1</v>
      </c>
      <c r="D96" s="4"/>
      <c r="Z96" s="22">
        <v>30000</v>
      </c>
      <c r="AA96" s="4" cm="1">
        <f t="array" ref="AA96">_xlfn.IFS(AND($C$64="Yes",$C$78="Yes",$C$92="Yes",$C$50="Yes"),1/((1/AG96)+(1/AL96)+(1/AQ96)+(1/AV96)+(1/BA96)),AND($C$64="Yes",$C$78="Yes",$C$92="Yes",$C$50="No"),1/((1/AG96)+(1/AL96)+(1/AQ96)+(1/AV96)),AND($C$64="Yes",$C$78="Yes",$C$92="No",$C$50="No"),1/((1/AG96)+(1/AL96)+(1/AQ96)),AND($C$64="Yes",$C$78="No",$C$92="No",$C$50="No"),1/((1/AG96)+(1/AL96)),AND($C$64="No",$C$78="No",$C$92="No",$C$50="No"),1/((1/AG96)),AND($C$64="Yes",$C$78="No",$C$92="No",$C$50="Yes"),1/((1/AG96)+(1/AL96)+(1/BA96)), AND($C$64="No",$C$78="No",$C$92="No",$C$50="Yes"),1/((1/AG96)+(1/BA96)), AND($C$64="No",$C$78="Yes",$C$92="No",$C$50="Yes"),1/((1/AG96)+(1/AQ96)+(1/BA96)))</f>
        <v>0.98187659237779179</v>
      </c>
      <c r="AB96" s="28">
        <f t="shared" si="59"/>
        <v>0.79935871743486953</v>
      </c>
      <c r="AD96" s="26">
        <f t="shared" si="40"/>
        <v>1.0047660548730766</v>
      </c>
      <c r="AE96" s="27">
        <f t="shared" si="41"/>
        <v>3.9269908169872414E-2</v>
      </c>
      <c r="AF96" s="28">
        <f t="shared" si="42"/>
        <v>0.25</v>
      </c>
      <c r="AG96" s="29">
        <f t="shared" si="60"/>
        <v>0.99733786115775991</v>
      </c>
      <c r="AH96" s="11"/>
      <c r="AI96" s="26">
        <f t="shared" si="43"/>
        <v>66.314559621623062</v>
      </c>
      <c r="AJ96" s="27">
        <f t="shared" si="44"/>
        <v>1.4137166941154068E-3</v>
      </c>
      <c r="AK96" s="29">
        <f t="shared" si="45"/>
        <v>0.125</v>
      </c>
      <c r="AL96" s="29">
        <f t="shared" si="46"/>
        <v>66.313263717060366</v>
      </c>
      <c r="AN96" s="26">
        <f t="shared" si="47"/>
        <v>530.51647697298449</v>
      </c>
      <c r="AO96" s="27">
        <f t="shared" si="48"/>
        <v>0.11309733552923255</v>
      </c>
      <c r="AP96" s="29">
        <f t="shared" si="49"/>
        <v>10</v>
      </c>
      <c r="AQ96" s="29" t="e">
        <f t="shared" si="50"/>
        <v>#N/A</v>
      </c>
      <c r="AS96" s="26">
        <f t="shared" si="51"/>
        <v>8038.1284389846132</v>
      </c>
      <c r="AT96" s="27">
        <f t="shared" si="52"/>
        <v>5.6548667764616277E-2</v>
      </c>
      <c r="AU96" s="29">
        <f t="shared" si="53"/>
        <v>5</v>
      </c>
      <c r="AV96" s="29" t="e">
        <f t="shared" si="54"/>
        <v>#N/A</v>
      </c>
      <c r="AX96" s="26">
        <f t="shared" si="55"/>
        <v>1410.9480770558098</v>
      </c>
      <c r="AY96" s="27">
        <f t="shared" si="56"/>
        <v>1.4137166941154068E-3</v>
      </c>
      <c r="AZ96" s="29">
        <f t="shared" si="57"/>
        <v>0.125</v>
      </c>
      <c r="BA96" s="29">
        <f t="shared" si="58"/>
        <v>1410.9466688761784</v>
      </c>
      <c r="BC96" s="30"/>
      <c r="BD96" s="11"/>
      <c r="BE96" s="11"/>
      <c r="BH96" s="11"/>
      <c r="BI96" s="11"/>
    </row>
    <row r="97" spans="2:61" x14ac:dyDescent="0.3">
      <c r="B97" s="2" t="s">
        <v>63</v>
      </c>
      <c r="C97" s="43">
        <f>C96*$C$32</f>
        <v>2</v>
      </c>
      <c r="D97" s="4"/>
      <c r="Z97" s="22">
        <v>35000</v>
      </c>
      <c r="AA97" s="4" cm="1">
        <f t="array" ref="AA97">_xlfn.IFS(AND($C$64="Yes",$C$78="Yes",$C$92="Yes",$C$50="Yes"),1/((1/AG97)+(1/AL97)+(1/AQ97)+(1/AV97)+(1/BA97)),AND($C$64="Yes",$C$78="Yes",$C$92="Yes",$C$50="No"),1/((1/AG97)+(1/AL97)+(1/AQ97)+(1/AV97)),AND($C$64="Yes",$C$78="Yes",$C$92="No",$C$50="No"),1/((1/AG97)+(1/AL97)+(1/AQ97)),AND($C$64="Yes",$C$78="No",$C$92="No",$C$50="No"),1/((1/AG97)+(1/AL97)),AND($C$64="No",$C$78="No",$C$92="No",$C$50="No"),1/((1/AG97)),AND($C$64="Yes",$C$78="No",$C$92="No",$C$50="Yes"),1/((1/AG97)+(1/AL97)+(1/BA97)), AND($C$64="No",$C$78="No",$C$92="No",$C$50="Yes"),1/((1/AG97)+(1/BA97)), AND($C$64="No",$C$78="Yes",$C$92="No",$C$50="Yes"),1/((1/AG97)+(1/AQ97)+(1/BA97)))</f>
        <v>0.83968504381737286</v>
      </c>
      <c r="AB97" s="28">
        <f t="shared" si="59"/>
        <v>0.79935871743486953</v>
      </c>
      <c r="AD97" s="26">
        <f t="shared" si="40"/>
        <v>0.86122804703406575</v>
      </c>
      <c r="AE97" s="27">
        <f t="shared" si="41"/>
        <v>4.5814892864851152E-2</v>
      </c>
      <c r="AF97" s="28">
        <f t="shared" si="42"/>
        <v>0.25</v>
      </c>
      <c r="AG97" s="29">
        <f t="shared" si="60"/>
        <v>0.85287666868791012</v>
      </c>
      <c r="AH97" s="11"/>
      <c r="AI97" s="26">
        <f t="shared" si="43"/>
        <v>56.841051104248351</v>
      </c>
      <c r="AJ97" s="27">
        <f t="shared" si="44"/>
        <v>1.6493361431346415E-3</v>
      </c>
      <c r="AK97" s="29">
        <f t="shared" si="45"/>
        <v>0.125</v>
      </c>
      <c r="AL97" s="29">
        <f t="shared" si="46"/>
        <v>56.839539216605921</v>
      </c>
      <c r="AN97" s="26">
        <f t="shared" si="47"/>
        <v>454.7284088339868</v>
      </c>
      <c r="AO97" s="27">
        <f t="shared" si="48"/>
        <v>0.13194689145077129</v>
      </c>
      <c r="AP97" s="29">
        <f t="shared" si="49"/>
        <v>10</v>
      </c>
      <c r="AQ97" s="29" t="e">
        <f t="shared" si="50"/>
        <v>#N/A</v>
      </c>
      <c r="AS97" s="26">
        <f t="shared" si="51"/>
        <v>6889.8243762725251</v>
      </c>
      <c r="AT97" s="27">
        <f t="shared" si="52"/>
        <v>6.5973445725385646E-2</v>
      </c>
      <c r="AU97" s="29">
        <f t="shared" si="53"/>
        <v>5</v>
      </c>
      <c r="AV97" s="29" t="e">
        <f t="shared" si="54"/>
        <v>#N/A</v>
      </c>
      <c r="AX97" s="26">
        <f t="shared" si="55"/>
        <v>1209.384066047837</v>
      </c>
      <c r="AY97" s="27">
        <f t="shared" si="56"/>
        <v>1.6493361431346415E-3</v>
      </c>
      <c r="AZ97" s="29">
        <f t="shared" si="57"/>
        <v>0.125</v>
      </c>
      <c r="BA97" s="29">
        <f t="shared" si="58"/>
        <v>1209.3824231716026</v>
      </c>
      <c r="BC97" s="30"/>
      <c r="BD97" s="11"/>
      <c r="BE97" s="11"/>
      <c r="BH97" s="11"/>
      <c r="BI97" s="11"/>
    </row>
    <row r="98" spans="2:61" ht="15.6" x14ac:dyDescent="0.35">
      <c r="B98" s="2" t="s">
        <v>171</v>
      </c>
      <c r="C98" s="43">
        <f>C93*$C$97</f>
        <v>0.66</v>
      </c>
      <c r="D98" s="10" t="s">
        <v>8</v>
      </c>
      <c r="Z98" s="22">
        <v>40000</v>
      </c>
      <c r="AA98" s="4" cm="1">
        <f t="array" ref="AA98">_xlfn.IFS(AND($C$64="Yes",$C$78="Yes",$C$92="Yes",$C$50="Yes"),1/((1/AG98)+(1/AL98)+(1/AQ98)+(1/AV98)+(1/BA98)),AND($C$64="Yes",$C$78="Yes",$C$92="Yes",$C$50="No"),1/((1/AG98)+(1/AL98)+(1/AQ98)+(1/AV98)),AND($C$64="Yes",$C$78="Yes",$C$92="No",$C$50="No"),1/((1/AG98)+(1/AL98)+(1/AQ98)),AND($C$64="Yes",$C$78="No",$C$92="No",$C$50="No"),1/((1/AG98)+(1/AL98)),AND($C$64="No",$C$78="No",$C$92="No",$C$50="No"),1/((1/AG98)),AND($C$64="Yes",$C$78="No",$C$92="No",$C$50="Yes"),1/((1/AG98)+(1/AL98)+(1/BA98)), AND($C$64="No",$C$78="No",$C$92="No",$C$50="Yes"),1/((1/AG98)+(1/BA98)), AND($C$64="No",$C$78="Yes",$C$92="No",$C$50="Yes"),1/((1/AG98)+(1/AQ98)+(1/BA98)))</f>
        <v>0.73296047670290831</v>
      </c>
      <c r="AB98" s="28">
        <f t="shared" si="59"/>
        <v>0.79935871743486953</v>
      </c>
      <c r="AD98" s="26">
        <f t="shared" si="40"/>
        <v>0.75357454115480749</v>
      </c>
      <c r="AE98" s="27">
        <f t="shared" si="41"/>
        <v>5.235987755982989E-2</v>
      </c>
      <c r="AF98" s="28">
        <f t="shared" si="42"/>
        <v>0.25</v>
      </c>
      <c r="AG98" s="29">
        <f t="shared" si="60"/>
        <v>0.74444744907926019</v>
      </c>
      <c r="AH98" s="11"/>
      <c r="AI98" s="26">
        <f t="shared" si="43"/>
        <v>49.735919716217296</v>
      </c>
      <c r="AJ98" s="27">
        <f t="shared" si="44"/>
        <v>1.8849555921538759E-3</v>
      </c>
      <c r="AK98" s="29">
        <f t="shared" si="45"/>
        <v>0.125</v>
      </c>
      <c r="AL98" s="29">
        <f t="shared" si="46"/>
        <v>49.734191845963174</v>
      </c>
      <c r="AN98" s="26">
        <f t="shared" si="47"/>
        <v>397.88735772973837</v>
      </c>
      <c r="AO98" s="27">
        <f t="shared" si="48"/>
        <v>0.15079644737231007</v>
      </c>
      <c r="AP98" s="29">
        <f t="shared" si="49"/>
        <v>10</v>
      </c>
      <c r="AQ98" s="29" t="e">
        <f t="shared" si="50"/>
        <v>#N/A</v>
      </c>
      <c r="AS98" s="26">
        <f t="shared" si="51"/>
        <v>6028.5963292384604</v>
      </c>
      <c r="AT98" s="27">
        <f t="shared" si="52"/>
        <v>7.5398223686155036E-2</v>
      </c>
      <c r="AU98" s="29">
        <f t="shared" si="53"/>
        <v>5</v>
      </c>
      <c r="AV98" s="29" t="e">
        <f t="shared" si="54"/>
        <v>#N/A</v>
      </c>
      <c r="AX98" s="26">
        <f t="shared" si="55"/>
        <v>1058.2110577918572</v>
      </c>
      <c r="AY98" s="27">
        <f t="shared" si="56"/>
        <v>1.8849555921538759E-3</v>
      </c>
      <c r="AZ98" s="29">
        <f t="shared" si="57"/>
        <v>0.125</v>
      </c>
      <c r="BA98" s="29">
        <f t="shared" si="58"/>
        <v>1058.2091802190209</v>
      </c>
      <c r="BC98" s="30"/>
      <c r="BD98" s="11"/>
      <c r="BE98" s="11"/>
      <c r="BH98" s="11"/>
      <c r="BI98" s="11"/>
    </row>
    <row r="99" spans="2:61" x14ac:dyDescent="0.3">
      <c r="B99" s="2" t="s">
        <v>114</v>
      </c>
      <c r="C99" s="47">
        <f>C94/$C$97</f>
        <v>5</v>
      </c>
      <c r="D99" s="4" t="s">
        <v>21</v>
      </c>
      <c r="Z99" s="22">
        <v>45000</v>
      </c>
      <c r="AA99" s="4" cm="1">
        <f t="array" ref="AA99">_xlfn.IFS(AND($C$64="Yes",$C$78="Yes",$C$92="Yes",$C$50="Yes"),1/((1/AG99)+(1/AL99)+(1/AQ99)+(1/AV99)+(1/BA99)),AND($C$64="Yes",$C$78="Yes",$C$92="Yes",$C$50="No"),1/((1/AG99)+(1/AL99)+(1/AQ99)+(1/AV99)),AND($C$64="Yes",$C$78="Yes",$C$92="No",$C$50="No"),1/((1/AG99)+(1/AL99)+(1/AQ99)),AND($C$64="Yes",$C$78="No",$C$92="No",$C$50="No"),1/((1/AG99)+(1/AL99)),AND($C$64="No",$C$78="No",$C$92="No",$C$50="No"),1/((1/AG99)),AND($C$64="Yes",$C$78="No",$C$92="No",$C$50="Yes"),1/((1/AG99)+(1/AL99)+(1/BA99)), AND($C$64="No",$C$78="No",$C$92="No",$C$50="Yes"),1/((1/AG99)+(1/BA99)), AND($C$64="No",$C$78="Yes",$C$92="No",$C$50="Yes"),1/((1/AG99)+(1/AQ99)+(1/BA99)))</f>
        <v>0.64994992488898429</v>
      </c>
      <c r="AB99" s="28">
        <f t="shared" si="59"/>
        <v>0.79935871743486953</v>
      </c>
      <c r="AD99" s="26">
        <f t="shared" si="40"/>
        <v>0.66984403658205116</v>
      </c>
      <c r="AE99" s="27">
        <f t="shared" si="41"/>
        <v>5.8904862254808628E-2</v>
      </c>
      <c r="AF99" s="28">
        <f t="shared" si="42"/>
        <v>0.25</v>
      </c>
      <c r="AG99" s="29">
        <f t="shared" si="60"/>
        <v>0.66011110786567806</v>
      </c>
      <c r="AH99" s="11"/>
      <c r="AI99" s="26">
        <f t="shared" si="43"/>
        <v>44.209706414415372</v>
      </c>
      <c r="AJ99" s="27">
        <f t="shared" si="44"/>
        <v>2.1205750411731105E-3</v>
      </c>
      <c r="AK99" s="29">
        <f t="shared" si="45"/>
        <v>0.125</v>
      </c>
      <c r="AL99" s="29">
        <f t="shared" si="46"/>
        <v>44.207762562084483</v>
      </c>
      <c r="AN99" s="26">
        <f t="shared" si="47"/>
        <v>353.67765131532298</v>
      </c>
      <c r="AO99" s="27">
        <f t="shared" si="48"/>
        <v>0.16964600329384882</v>
      </c>
      <c r="AP99" s="29">
        <f t="shared" si="49"/>
        <v>10</v>
      </c>
      <c r="AQ99" s="29" t="e">
        <f t="shared" si="50"/>
        <v>#N/A</v>
      </c>
      <c r="AS99" s="26">
        <f t="shared" si="51"/>
        <v>5358.7522926564079</v>
      </c>
      <c r="AT99" s="27">
        <f t="shared" si="52"/>
        <v>8.4823001646924412E-2</v>
      </c>
      <c r="AU99" s="29">
        <f t="shared" si="53"/>
        <v>5</v>
      </c>
      <c r="AV99" s="29" t="e">
        <f t="shared" si="54"/>
        <v>#N/A</v>
      </c>
      <c r="AX99" s="26">
        <f t="shared" si="55"/>
        <v>940.63205137053967</v>
      </c>
      <c r="AY99" s="27">
        <f t="shared" si="56"/>
        <v>2.1205750411731105E-3</v>
      </c>
      <c r="AZ99" s="29">
        <f t="shared" si="57"/>
        <v>0.125</v>
      </c>
      <c r="BA99" s="29">
        <f t="shared" si="58"/>
        <v>940.62993910110276</v>
      </c>
      <c r="BC99" s="30"/>
      <c r="BD99" s="11"/>
      <c r="BE99" s="11"/>
      <c r="BH99" s="11"/>
      <c r="BI99" s="11"/>
    </row>
    <row r="100" spans="2:61" x14ac:dyDescent="0.3">
      <c r="B100" s="2" t="s">
        <v>187</v>
      </c>
      <c r="C100" s="47">
        <f>C95/$C$97</f>
        <v>0.3</v>
      </c>
      <c r="D100" s="4" t="s">
        <v>5</v>
      </c>
      <c r="Z100" s="22">
        <v>50000</v>
      </c>
      <c r="AA100" s="4" cm="1">
        <f t="array" ref="AA100">_xlfn.IFS(AND($C$64="Yes",$C$78="Yes",$C$92="Yes",$C$50="Yes"),1/((1/AG100)+(1/AL100)+(1/AQ100)+(1/AV100)+(1/BA100)),AND($C$64="Yes",$C$78="Yes",$C$92="Yes",$C$50="No"),1/((1/AG100)+(1/AL100)+(1/AQ100)+(1/AV100)),AND($C$64="Yes",$C$78="Yes",$C$92="No",$C$50="No"),1/((1/AG100)+(1/AL100)+(1/AQ100)),AND($C$64="Yes",$C$78="No",$C$92="No",$C$50="No"),1/((1/AG100)+(1/AL100)),AND($C$64="No",$C$78="No",$C$92="No",$C$50="No"),1/((1/AG100)),AND($C$64="Yes",$C$78="No",$C$92="No",$C$50="Yes"),1/((1/AG100)+(1/AL100)+(1/BA100)), AND($C$64="No",$C$78="No",$C$92="No",$C$50="Yes"),1/((1/AG100)+(1/BA100)), AND($C$64="No",$C$78="Yes",$C$92="No",$C$50="Yes"),1/((1/AG100)+(1/AQ100)+(1/BA100)))</f>
        <v>0.58361064279825903</v>
      </c>
      <c r="AB100" s="28">
        <f t="shared" si="59"/>
        <v>0.79935871743486953</v>
      </c>
      <c r="AD100" s="26">
        <f t="shared" si="40"/>
        <v>0.60285963292384603</v>
      </c>
      <c r="AE100" s="27">
        <f t="shared" si="41"/>
        <v>6.5449846949787352E-2</v>
      </c>
      <c r="AF100" s="28">
        <f t="shared" si="42"/>
        <v>0.25</v>
      </c>
      <c r="AG100" s="29">
        <f t="shared" si="60"/>
        <v>0.59271348732813856</v>
      </c>
      <c r="AH100" s="11"/>
      <c r="AI100" s="26">
        <f t="shared" si="43"/>
        <v>39.788735772973844</v>
      </c>
      <c r="AJ100" s="27">
        <f t="shared" si="44"/>
        <v>2.3561944901923449E-3</v>
      </c>
      <c r="AK100" s="29">
        <f t="shared" si="45"/>
        <v>0.125</v>
      </c>
      <c r="AL100" s="29">
        <f t="shared" si="46"/>
        <v>39.786575939167989</v>
      </c>
      <c r="AN100" s="26">
        <f t="shared" si="47"/>
        <v>318.30988618379075</v>
      </c>
      <c r="AO100" s="27">
        <f t="shared" si="48"/>
        <v>0.18849555921538758</v>
      </c>
      <c r="AP100" s="29">
        <f t="shared" si="49"/>
        <v>10</v>
      </c>
      <c r="AQ100" s="29" t="e">
        <f t="shared" si="50"/>
        <v>#N/A</v>
      </c>
      <c r="AS100" s="26">
        <f t="shared" si="51"/>
        <v>4822.8770633907679</v>
      </c>
      <c r="AT100" s="27">
        <f t="shared" si="52"/>
        <v>9.4247779607693788E-2</v>
      </c>
      <c r="AU100" s="29">
        <f t="shared" si="53"/>
        <v>5</v>
      </c>
      <c r="AV100" s="29" t="e">
        <f t="shared" si="54"/>
        <v>#N/A</v>
      </c>
      <c r="AX100" s="26">
        <f t="shared" si="55"/>
        <v>846.56884623348583</v>
      </c>
      <c r="AY100" s="27">
        <f t="shared" si="56"/>
        <v>2.3561944901923449E-3</v>
      </c>
      <c r="AZ100" s="29">
        <f t="shared" si="57"/>
        <v>0.125</v>
      </c>
      <c r="BA100" s="29">
        <f t="shared" si="58"/>
        <v>846.56649926744967</v>
      </c>
      <c r="BC100" s="30"/>
      <c r="BD100" s="11"/>
      <c r="BE100" s="11"/>
      <c r="BH100" s="11"/>
      <c r="BI100" s="11"/>
    </row>
    <row r="101" spans="2:61" x14ac:dyDescent="0.3">
      <c r="B101" s="2" t="s">
        <v>111</v>
      </c>
      <c r="C101" s="47">
        <f>(1/(2*PI()*(SQRT($C$93*0.000001*$C$95*0.000000001))))*0.000001</f>
        <v>11.310649292909499</v>
      </c>
      <c r="D101" s="4" t="s">
        <v>87</v>
      </c>
      <c r="Z101" s="22">
        <v>55000</v>
      </c>
      <c r="AA101" s="4" cm="1">
        <f t="array" ref="AA101">_xlfn.IFS(AND($C$64="Yes",$C$78="Yes",$C$92="Yes",$C$50="Yes"),1/((1/AG101)+(1/AL101)+(1/AQ101)+(1/AV101)+(1/BA101)),AND($C$64="Yes",$C$78="Yes",$C$92="Yes",$C$50="No"),1/((1/AG101)+(1/AL101)+(1/AQ101)+(1/AV101)),AND($C$64="Yes",$C$78="Yes",$C$92="No",$C$50="No"),1/((1/AG101)+(1/AL101)+(1/AQ101)),AND($C$64="Yes",$C$78="No",$C$92="No",$C$50="No"),1/((1/AG101)+(1/AL101)),AND($C$64="No",$C$78="No",$C$92="No",$C$50="No"),1/((1/AG101)),AND($C$64="Yes",$C$78="No",$C$92="No",$C$50="Yes"),1/((1/AG101)+(1/AL101)+(1/BA101)), AND($C$64="No",$C$78="No",$C$92="No",$C$50="Yes"),1/((1/AG101)+(1/BA101)), AND($C$64="No",$C$78="Yes",$C$92="No",$C$50="Yes"),1/((1/AG101)+(1/AQ101)+(1/BA101)))</f>
        <v>0.52946915572915498</v>
      </c>
      <c r="AB101" s="28">
        <f t="shared" si="59"/>
        <v>0.79935871743486953</v>
      </c>
      <c r="AD101" s="26">
        <f t="shared" si="40"/>
        <v>0.54805421174895097</v>
      </c>
      <c r="AE101" s="27">
        <f t="shared" si="41"/>
        <v>7.1994831644766083E-2</v>
      </c>
      <c r="AF101" s="28">
        <f t="shared" si="42"/>
        <v>0.25</v>
      </c>
      <c r="AG101" s="29">
        <f t="shared" si="60"/>
        <v>0.53771045497105674</v>
      </c>
      <c r="AH101" s="11"/>
      <c r="AI101" s="26">
        <f t="shared" si="43"/>
        <v>36.171577975430758</v>
      </c>
      <c r="AJ101" s="27">
        <f t="shared" si="44"/>
        <v>2.5918139392115793E-3</v>
      </c>
      <c r="AK101" s="29">
        <f t="shared" si="45"/>
        <v>0.125</v>
      </c>
      <c r="AL101" s="29">
        <f t="shared" si="46"/>
        <v>36.169202160818628</v>
      </c>
      <c r="AN101" s="26">
        <f t="shared" si="47"/>
        <v>289.37262380344606</v>
      </c>
      <c r="AO101" s="27">
        <f t="shared" si="48"/>
        <v>0.20734511513692633</v>
      </c>
      <c r="AP101" s="29">
        <f t="shared" si="49"/>
        <v>10</v>
      </c>
      <c r="AQ101" s="29" t="e">
        <f t="shared" si="50"/>
        <v>#N/A</v>
      </c>
      <c r="AS101" s="26">
        <f t="shared" si="51"/>
        <v>4384.4336939916075</v>
      </c>
      <c r="AT101" s="27">
        <f t="shared" si="52"/>
        <v>0.10367255756846316</v>
      </c>
      <c r="AU101" s="29">
        <f t="shared" si="53"/>
        <v>5</v>
      </c>
      <c r="AV101" s="29" t="e">
        <f t="shared" si="54"/>
        <v>#N/A</v>
      </c>
      <c r="AX101" s="26">
        <f t="shared" si="55"/>
        <v>769.60804203044177</v>
      </c>
      <c r="AY101" s="27">
        <f t="shared" si="56"/>
        <v>2.5918139392115793E-3</v>
      </c>
      <c r="AZ101" s="29">
        <f t="shared" si="57"/>
        <v>0.125</v>
      </c>
      <c r="BA101" s="29">
        <f t="shared" si="58"/>
        <v>769.60546036780795</v>
      </c>
      <c r="BC101" s="30"/>
      <c r="BD101" s="11"/>
      <c r="BE101" s="11"/>
      <c r="BH101" s="11"/>
      <c r="BI101" s="11"/>
    </row>
    <row r="102" spans="2:61" x14ac:dyDescent="0.3">
      <c r="B102" s="2" t="s">
        <v>427</v>
      </c>
      <c r="C102" s="47">
        <f>1000/(2*PI()*$C$33*1000*C98*0.000001)</f>
        <v>482.28770633907686</v>
      </c>
      <c r="D102" s="4" t="s">
        <v>425</v>
      </c>
      <c r="Z102" s="22">
        <v>60000</v>
      </c>
      <c r="AA102" s="4" cm="1">
        <f t="array" ref="AA102">_xlfn.IFS(AND($C$64="Yes",$C$78="Yes",$C$92="Yes",$C$50="Yes"),1/((1/AG102)+(1/AL102)+(1/AQ102)+(1/AV102)+(1/BA102)),AND($C$64="Yes",$C$78="Yes",$C$92="Yes",$C$50="No"),1/((1/AG102)+(1/AL102)+(1/AQ102)+(1/AV102)),AND($C$64="Yes",$C$78="Yes",$C$92="No",$C$50="No"),1/((1/AG102)+(1/AL102)+(1/AQ102)),AND($C$64="Yes",$C$78="No",$C$92="No",$C$50="No"),1/((1/AG102)+(1/AL102)),AND($C$64="No",$C$78="No",$C$92="No",$C$50="No"),1/((1/AG102)),AND($C$64="Yes",$C$78="No",$C$92="No",$C$50="Yes"),1/((1/AG102)+(1/AL102)+(1/BA102)), AND($C$64="No",$C$78="No",$C$92="No",$C$50="Yes"),1/((1/AG102)+(1/BA102)), AND($C$64="No",$C$78="Yes",$C$92="No",$C$50="Yes"),1/((1/AG102)+(1/AQ102)+(1/BA102)))</f>
        <v>0.48455068400047308</v>
      </c>
      <c r="AB102" s="28">
        <f t="shared" si="59"/>
        <v>0.79935871743486953</v>
      </c>
      <c r="AD102" s="26">
        <f t="shared" si="40"/>
        <v>0.50238302743653829</v>
      </c>
      <c r="AE102" s="27">
        <f t="shared" si="41"/>
        <v>7.8539816339744828E-2</v>
      </c>
      <c r="AF102" s="28">
        <f t="shared" si="42"/>
        <v>0.25</v>
      </c>
      <c r="AG102" s="29">
        <f t="shared" si="60"/>
        <v>0.49208034668419853</v>
      </c>
      <c r="AH102" s="11"/>
      <c r="AI102" s="26">
        <f t="shared" si="43"/>
        <v>33.157279810811531</v>
      </c>
      <c r="AJ102" s="27">
        <f t="shared" si="44"/>
        <v>2.8274333882308137E-3</v>
      </c>
      <c r="AK102" s="29">
        <f t="shared" si="45"/>
        <v>0.125</v>
      </c>
      <c r="AL102" s="29">
        <f t="shared" si="46"/>
        <v>33.154688016128723</v>
      </c>
      <c r="AN102" s="26">
        <f t="shared" si="47"/>
        <v>265.25823848649225</v>
      </c>
      <c r="AO102" s="27">
        <f t="shared" si="48"/>
        <v>0.22619467105846511</v>
      </c>
      <c r="AP102" s="29">
        <f t="shared" si="49"/>
        <v>10</v>
      </c>
      <c r="AQ102" s="29" t="e">
        <f t="shared" si="50"/>
        <v>#N/A</v>
      </c>
      <c r="AS102" s="26">
        <f t="shared" si="51"/>
        <v>4019.0642194923066</v>
      </c>
      <c r="AT102" s="27">
        <f t="shared" si="52"/>
        <v>0.11309733552923255</v>
      </c>
      <c r="AU102" s="29">
        <f t="shared" si="53"/>
        <v>5</v>
      </c>
      <c r="AV102" s="29" t="e">
        <f t="shared" si="54"/>
        <v>#N/A</v>
      </c>
      <c r="AX102" s="26">
        <f t="shared" si="55"/>
        <v>705.4740385279049</v>
      </c>
      <c r="AY102" s="27">
        <f t="shared" si="56"/>
        <v>2.8274333882308137E-3</v>
      </c>
      <c r="AZ102" s="29">
        <f t="shared" si="57"/>
        <v>0.125</v>
      </c>
      <c r="BA102" s="29">
        <f t="shared" si="58"/>
        <v>705.47122216867501</v>
      </c>
      <c r="BC102" s="30"/>
      <c r="BD102" s="11"/>
      <c r="BE102" s="11"/>
      <c r="BH102" s="11"/>
      <c r="BI102" s="11"/>
    </row>
    <row r="103" spans="2:61" x14ac:dyDescent="0.3">
      <c r="B103" s="2" t="s">
        <v>426</v>
      </c>
      <c r="C103" s="47">
        <f>2*PI()*C100*0.000000001*$C$33*1000*1000</f>
        <v>0.94247779607693793</v>
      </c>
      <c r="D103" s="4" t="s">
        <v>425</v>
      </c>
      <c r="Z103" s="22">
        <v>65000</v>
      </c>
      <c r="AA103" s="4" cm="1">
        <f t="array" ref="AA103">_xlfn.IFS(AND($C$64="Yes",$C$78="Yes",$C$92="Yes",$C$50="Yes"),1/((1/AG103)+(1/AL103)+(1/AQ103)+(1/AV103)+(1/BA103)),AND($C$64="Yes",$C$78="Yes",$C$92="Yes",$C$50="No"),1/((1/AG103)+(1/AL103)+(1/AQ103)+(1/AV103)),AND($C$64="Yes",$C$78="Yes",$C$92="No",$C$50="No"),1/((1/AG103)+(1/AL103)+(1/AQ103)),AND($C$64="Yes",$C$78="No",$C$92="No",$C$50="No"),1/((1/AG103)+(1/AL103)),AND($C$64="No",$C$78="No",$C$92="No",$C$50="No"),1/((1/AG103)),AND($C$64="Yes",$C$78="No",$C$92="No",$C$50="Yes"),1/((1/AG103)+(1/AL103)+(1/BA103)), AND($C$64="No",$C$78="No",$C$92="No",$C$50="Yes"),1/((1/AG103)+(1/BA103)), AND($C$64="No",$C$78="Yes",$C$92="No",$C$50="Yes"),1/((1/AG103)+(1/AQ103)+(1/BA103)))</f>
        <v>0.446802549251753</v>
      </c>
      <c r="AB103" s="28">
        <f t="shared" si="59"/>
        <v>0.79935871743486953</v>
      </c>
      <c r="AD103" s="26">
        <f t="shared" si="40"/>
        <v>0.46373817917218918</v>
      </c>
      <c r="AE103" s="27">
        <f t="shared" si="41"/>
        <v>8.5084801034723559E-2</v>
      </c>
      <c r="AF103" s="28">
        <f t="shared" si="42"/>
        <v>0.25</v>
      </c>
      <c r="AG103" s="29">
        <f t="shared" ref="AG103:AG110" si="61">SQRT(AF103^(2)+ABS(AD103-AE103)^(2))</f>
        <v>0.45373822935136793</v>
      </c>
      <c r="AH103" s="11"/>
      <c r="AI103" s="26">
        <f t="shared" si="43"/>
        <v>30.60671982536449</v>
      </c>
      <c r="AJ103" s="27">
        <f t="shared" si="44"/>
        <v>3.0630528372500485E-3</v>
      </c>
      <c r="AK103" s="29">
        <f t="shared" si="45"/>
        <v>0.125</v>
      </c>
      <c r="AL103" s="29">
        <f t="shared" si="46"/>
        <v>30.603912051413502</v>
      </c>
      <c r="AN103" s="26">
        <f t="shared" si="47"/>
        <v>244.85375860291592</v>
      </c>
      <c r="AO103" s="27">
        <f t="shared" si="48"/>
        <v>0.24504422698000389</v>
      </c>
      <c r="AP103" s="29">
        <f t="shared" si="49"/>
        <v>10</v>
      </c>
      <c r="AQ103" s="29" t="e">
        <f t="shared" si="50"/>
        <v>#N/A</v>
      </c>
      <c r="AS103" s="26">
        <f t="shared" si="51"/>
        <v>3709.9054333775139</v>
      </c>
      <c r="AT103" s="27">
        <f t="shared" si="52"/>
        <v>0.12252211349000194</v>
      </c>
      <c r="AU103" s="29">
        <f t="shared" si="53"/>
        <v>5</v>
      </c>
      <c r="AV103" s="29" t="e">
        <f t="shared" si="54"/>
        <v>#N/A</v>
      </c>
      <c r="AX103" s="26">
        <f t="shared" si="55"/>
        <v>651.20680479498913</v>
      </c>
      <c r="AY103" s="27">
        <f t="shared" si="56"/>
        <v>3.0630528372500485E-3</v>
      </c>
      <c r="AZ103" s="29">
        <f t="shared" si="57"/>
        <v>0.125</v>
      </c>
      <c r="BA103" s="29">
        <f t="shared" si="58"/>
        <v>651.20375373916522</v>
      </c>
      <c r="BB103" s="11"/>
      <c r="BE103" s="11"/>
      <c r="BF103" s="11"/>
    </row>
    <row r="104" spans="2:61" x14ac:dyDescent="0.3">
      <c r="B104" s="2" t="s">
        <v>440</v>
      </c>
      <c r="C104" s="47">
        <f>SQRT(C99^(2)+ABS(C102-C103)^(2))</f>
        <v>481.37119672983431</v>
      </c>
      <c r="D104" s="4" t="s">
        <v>425</v>
      </c>
      <c r="Z104" s="22">
        <v>70000</v>
      </c>
      <c r="AA104" s="4" cm="1">
        <f t="array" ref="AA104">_xlfn.IFS(AND($C$64="Yes",$C$78="Yes",$C$92="Yes",$C$50="Yes"),1/((1/AG104)+(1/AL104)+(1/AQ104)+(1/AV104)+(1/BA104)),AND($C$64="Yes",$C$78="Yes",$C$92="Yes",$C$50="No"),1/((1/AG104)+(1/AL104)+(1/AQ104)+(1/AV104)),AND($C$64="Yes",$C$78="Yes",$C$92="No",$C$50="No"),1/((1/AG104)+(1/AL104)+(1/AQ104)),AND($C$64="Yes",$C$78="No",$C$92="No",$C$50="No"),1/((1/AG104)+(1/AL104)),AND($C$64="No",$C$78="No",$C$92="No",$C$50="No"),1/((1/AG104)),AND($C$64="Yes",$C$78="No",$C$92="No",$C$50="Yes"),1/((1/AG104)+(1/AL104)+(1/BA104)), AND($C$64="No",$C$78="No",$C$92="No",$C$50="Yes"),1/((1/AG104)+(1/BA104)), AND($C$64="No",$C$78="Yes",$C$92="No",$C$50="Yes"),1/((1/AG104)+(1/AQ104)+(1/BA104)))</f>
        <v>0.41476453554244885</v>
      </c>
      <c r="AB104" s="28">
        <f t="shared" si="59"/>
        <v>0.79935871743486953</v>
      </c>
      <c r="AD104" s="26">
        <f t="shared" si="40"/>
        <v>0.43061402351703287</v>
      </c>
      <c r="AE104" s="27">
        <f t="shared" si="41"/>
        <v>9.1629785729702304E-2</v>
      </c>
      <c r="AF104" s="28">
        <f t="shared" si="42"/>
        <v>0.25</v>
      </c>
      <c r="AG104" s="29">
        <f t="shared" si="61"/>
        <v>0.42120103687937127</v>
      </c>
      <c r="AH104" s="11"/>
      <c r="AI104" s="26">
        <f t="shared" si="43"/>
        <v>28.420525552124175</v>
      </c>
      <c r="AJ104" s="27">
        <f t="shared" si="44"/>
        <v>3.2986722862692829E-3</v>
      </c>
      <c r="AK104" s="29">
        <f t="shared" si="45"/>
        <v>0.125</v>
      </c>
      <c r="AL104" s="29">
        <f t="shared" si="46"/>
        <v>28.417501799774413</v>
      </c>
      <c r="AN104" s="26">
        <f t="shared" si="47"/>
        <v>227.3642044169934</v>
      </c>
      <c r="AO104" s="27">
        <f t="shared" si="48"/>
        <v>0.26389378290154258</v>
      </c>
      <c r="AP104" s="29">
        <f t="shared" si="49"/>
        <v>10</v>
      </c>
      <c r="AQ104" s="29" t="e">
        <f t="shared" si="50"/>
        <v>#N/A</v>
      </c>
      <c r="AS104" s="26">
        <f t="shared" si="51"/>
        <v>3444.9121881362626</v>
      </c>
      <c r="AT104" s="27">
        <f t="shared" si="52"/>
        <v>0.13194689145077129</v>
      </c>
      <c r="AU104" s="29">
        <f t="shared" si="53"/>
        <v>5</v>
      </c>
      <c r="AV104" s="29" t="e">
        <f t="shared" si="54"/>
        <v>#N/A</v>
      </c>
      <c r="AX104" s="26">
        <f t="shared" si="55"/>
        <v>604.6920330239185</v>
      </c>
      <c r="AY104" s="27">
        <f t="shared" si="56"/>
        <v>3.2986722862692829E-3</v>
      </c>
      <c r="AZ104" s="29">
        <f t="shared" si="57"/>
        <v>0.125</v>
      </c>
      <c r="BA104" s="29">
        <f t="shared" si="58"/>
        <v>604.68874727150239</v>
      </c>
      <c r="BB104" s="11"/>
      <c r="BE104" s="11"/>
      <c r="BF104" s="11"/>
    </row>
    <row r="105" spans="2:61" x14ac:dyDescent="0.3">
      <c r="Z105" s="22">
        <v>75000</v>
      </c>
      <c r="AA105" s="4" cm="1">
        <f t="array" ref="AA105">_xlfn.IFS(AND($C$64="Yes",$C$78="Yes",$C$92="Yes",$C$50="Yes"),1/((1/AG105)+(1/AL105)+(1/AQ105)+(1/AV105)+(1/BA105)),AND($C$64="Yes",$C$78="Yes",$C$92="Yes",$C$50="No"),1/((1/AG105)+(1/AL105)+(1/AQ105)+(1/AV105)),AND($C$64="Yes",$C$78="Yes",$C$92="No",$C$50="No"),1/((1/AG105)+(1/AL105)+(1/AQ105)),AND($C$64="Yes",$C$78="No",$C$92="No",$C$50="No"),1/((1/AG105)+(1/AL105)),AND($C$64="No",$C$78="No",$C$92="No",$C$50="No"),1/((1/AG105)),AND($C$64="Yes",$C$78="No",$C$92="No",$C$50="Yes"),1/((1/AG105)+(1/AL105)+(1/BA105)), AND($C$64="No",$C$78="No",$C$92="No",$C$50="Yes"),1/((1/AG105)+(1/BA105)), AND($C$64="No",$C$78="Yes",$C$92="No",$C$50="Yes"),1/((1/AG105)+(1/AQ105)+(1/BA105)))</f>
        <v>0.3873709260434679</v>
      </c>
      <c r="AB105" s="28">
        <f t="shared" si="59"/>
        <v>0.79935871743486953</v>
      </c>
      <c r="AD105" s="26">
        <f t="shared" si="40"/>
        <v>0.40190642194923071</v>
      </c>
      <c r="AE105" s="27">
        <f t="shared" si="41"/>
        <v>9.8174770424681035E-2</v>
      </c>
      <c r="AF105" s="28">
        <f t="shared" si="42"/>
        <v>0.25</v>
      </c>
      <c r="AG105" s="29">
        <f t="shared" si="61"/>
        <v>0.39338647172701618</v>
      </c>
      <c r="AH105" s="11"/>
      <c r="AI105" s="26">
        <f t="shared" si="43"/>
        <v>26.525823848649225</v>
      </c>
      <c r="AJ105" s="27">
        <f t="shared" si="44"/>
        <v>3.5342917352885173E-3</v>
      </c>
      <c r="AK105" s="29">
        <f t="shared" si="45"/>
        <v>0.125</v>
      </c>
      <c r="AL105" s="29">
        <f t="shared" si="46"/>
        <v>26.522584118837027</v>
      </c>
      <c r="AN105" s="26">
        <f t="shared" si="47"/>
        <v>212.2065907891938</v>
      </c>
      <c r="AO105" s="27">
        <f t="shared" si="48"/>
        <v>0.28274333882308139</v>
      </c>
      <c r="AP105" s="29">
        <f t="shared" si="49"/>
        <v>10</v>
      </c>
      <c r="AQ105" s="29" t="e">
        <f t="shared" si="50"/>
        <v>#N/A</v>
      </c>
      <c r="AS105" s="26">
        <f t="shared" si="51"/>
        <v>3215.2513755938448</v>
      </c>
      <c r="AT105" s="27">
        <f t="shared" si="52"/>
        <v>0.1413716694115407</v>
      </c>
      <c r="AU105" s="29">
        <f t="shared" si="53"/>
        <v>5</v>
      </c>
      <c r="AV105" s="29" t="e">
        <f t="shared" si="54"/>
        <v>#N/A</v>
      </c>
      <c r="AX105" s="26">
        <f t="shared" si="55"/>
        <v>564.37923082232385</v>
      </c>
      <c r="AY105" s="27">
        <f t="shared" si="56"/>
        <v>3.5342917352885173E-3</v>
      </c>
      <c r="AZ105" s="29">
        <f t="shared" si="57"/>
        <v>0.125</v>
      </c>
      <c r="BA105" s="29">
        <f t="shared" si="58"/>
        <v>564.3757103733177</v>
      </c>
      <c r="BB105" s="11"/>
      <c r="BE105" s="11"/>
      <c r="BF105" s="11"/>
    </row>
    <row r="106" spans="2:61" x14ac:dyDescent="0.3">
      <c r="Z106" s="22">
        <v>80000</v>
      </c>
      <c r="AA106" s="4" cm="1">
        <f t="array" ref="AA106">_xlfn.IFS(AND($C$64="Yes",$C$78="Yes",$C$92="Yes",$C$50="Yes"),1/((1/AG106)+(1/AL106)+(1/AQ106)+(1/AV106)+(1/BA106)),AND($C$64="Yes",$C$78="Yes",$C$92="Yes",$C$50="No"),1/((1/AG106)+(1/AL106)+(1/AQ106)+(1/AV106)),AND($C$64="Yes",$C$78="Yes",$C$92="No",$C$50="No"),1/((1/AG106)+(1/AL106)+(1/AQ106)),AND($C$64="Yes",$C$78="No",$C$92="No",$C$50="No"),1/((1/AG106)+(1/AL106)),AND($C$64="No",$C$78="No",$C$92="No",$C$50="No"),1/((1/AG106)),AND($C$64="Yes",$C$78="No",$C$92="No",$C$50="Yes"),1/((1/AG106)+(1/AL106)+(1/BA106)), AND($C$64="No",$C$78="No",$C$92="No",$C$50="Yes"),1/((1/AG106)+(1/BA106)), AND($C$64="No",$C$78="Yes",$C$92="No",$C$50="Yes"),1/((1/AG106)+(1/AQ106)+(1/BA106)))</f>
        <v>0.36382657926184275</v>
      </c>
      <c r="AB106" s="28">
        <f t="shared" si="59"/>
        <v>0.79935871743486953</v>
      </c>
      <c r="AD106" s="26">
        <f t="shared" si="40"/>
        <v>0.37678727057740374</v>
      </c>
      <c r="AE106" s="27">
        <f t="shared" si="41"/>
        <v>0.10471975511965978</v>
      </c>
      <c r="AF106" s="28">
        <f t="shared" si="42"/>
        <v>0.25</v>
      </c>
      <c r="AG106" s="29">
        <f t="shared" si="61"/>
        <v>0.36948712151758384</v>
      </c>
      <c r="AH106" s="11"/>
      <c r="AI106" s="26">
        <f t="shared" si="43"/>
        <v>24.867959858108648</v>
      </c>
      <c r="AJ106" s="27">
        <f t="shared" si="44"/>
        <v>3.7699111843077517E-3</v>
      </c>
      <c r="AK106" s="29">
        <f t="shared" si="45"/>
        <v>0.125</v>
      </c>
      <c r="AL106" s="29">
        <f t="shared" si="46"/>
        <v>24.864504151837281</v>
      </c>
      <c r="AN106" s="26">
        <f t="shared" si="47"/>
        <v>198.94367886486918</v>
      </c>
      <c r="AO106" s="27">
        <f t="shared" si="48"/>
        <v>0.30159289474462014</v>
      </c>
      <c r="AP106" s="29">
        <f t="shared" si="49"/>
        <v>10</v>
      </c>
      <c r="AQ106" s="29" t="e">
        <f t="shared" si="50"/>
        <v>#N/A</v>
      </c>
      <c r="AS106" s="26">
        <f t="shared" si="51"/>
        <v>3014.2981646192302</v>
      </c>
      <c r="AT106" s="27">
        <f t="shared" si="52"/>
        <v>0.15079644737231007</v>
      </c>
      <c r="AU106" s="29">
        <f t="shared" si="53"/>
        <v>5</v>
      </c>
      <c r="AV106" s="29" t="e">
        <f t="shared" si="54"/>
        <v>#N/A</v>
      </c>
      <c r="AX106" s="26">
        <f t="shared" si="55"/>
        <v>529.10552889592861</v>
      </c>
      <c r="AY106" s="27">
        <f t="shared" si="56"/>
        <v>3.7699111843077517E-3</v>
      </c>
      <c r="AZ106" s="29">
        <f t="shared" si="57"/>
        <v>0.125</v>
      </c>
      <c r="BA106" s="29">
        <f t="shared" si="58"/>
        <v>529.1017737503347</v>
      </c>
      <c r="BB106" s="11"/>
      <c r="BC106" s="11"/>
    </row>
    <row r="107" spans="2:61" x14ac:dyDescent="0.3">
      <c r="C107" s="71"/>
      <c r="Z107" s="22">
        <v>85000</v>
      </c>
      <c r="AA107" s="4" cm="1">
        <f t="array" ref="AA107">_xlfn.IFS(AND($C$64="Yes",$C$78="Yes",$C$92="Yes",$C$50="Yes"),1/((1/AG107)+(1/AL107)+(1/AQ107)+(1/AV107)+(1/BA107)),AND($C$64="Yes",$C$78="Yes",$C$92="Yes",$C$50="No"),1/((1/AG107)+(1/AL107)+(1/AQ107)+(1/AV107)),AND($C$64="Yes",$C$78="Yes",$C$92="No",$C$50="No"),1/((1/AG107)+(1/AL107)+(1/AQ107)),AND($C$64="Yes",$C$78="No",$C$92="No",$C$50="No"),1/((1/AG107)+(1/AL107)),AND($C$64="No",$C$78="No",$C$92="No",$C$50="No"),1/((1/AG107)),AND($C$64="Yes",$C$78="No",$C$92="No",$C$50="Yes"),1/((1/AG107)+(1/AL107)+(1/BA107)), AND($C$64="No",$C$78="No",$C$92="No",$C$50="Yes"),1/((1/AG107)+(1/BA107)), AND($C$64="No",$C$78="Yes",$C$92="No",$C$50="Yes"),1/((1/AG107)+(1/AQ107)+(1/BA107)))</f>
        <v>0.34352653901356572</v>
      </c>
      <c r="AB107" s="28">
        <f t="shared" si="59"/>
        <v>0.79935871743486953</v>
      </c>
      <c r="AD107" s="26">
        <f t="shared" si="40"/>
        <v>0.35462331348461529</v>
      </c>
      <c r="AE107" s="27">
        <f t="shared" si="41"/>
        <v>0.1112647398146385</v>
      </c>
      <c r="AF107" s="28">
        <f t="shared" si="42"/>
        <v>0.25</v>
      </c>
      <c r="AG107" s="29">
        <f t="shared" si="61"/>
        <v>0.34888880087885527</v>
      </c>
      <c r="AH107" s="11"/>
      <c r="AI107" s="26">
        <f t="shared" si="43"/>
        <v>23.405138689984611</v>
      </c>
      <c r="AJ107" s="27">
        <f t="shared" si="44"/>
        <v>4.0055306333269857E-3</v>
      </c>
      <c r="AK107" s="29">
        <f t="shared" si="45"/>
        <v>0.125</v>
      </c>
      <c r="AL107" s="29">
        <f t="shared" si="46"/>
        <v>23.401467008324289</v>
      </c>
      <c r="AN107" s="26">
        <f t="shared" si="47"/>
        <v>187.24110951987689</v>
      </c>
      <c r="AO107" s="27">
        <f t="shared" si="48"/>
        <v>0.3204424506661589</v>
      </c>
      <c r="AP107" s="29">
        <f t="shared" si="49"/>
        <v>10</v>
      </c>
      <c r="AQ107" s="29" t="e">
        <f t="shared" si="50"/>
        <v>#N/A</v>
      </c>
      <c r="AS107" s="26">
        <f t="shared" si="51"/>
        <v>2836.9865078769221</v>
      </c>
      <c r="AT107" s="27">
        <f t="shared" si="52"/>
        <v>0.16022122533307945</v>
      </c>
      <c r="AU107" s="29">
        <f t="shared" si="53"/>
        <v>5</v>
      </c>
      <c r="AV107" s="29" t="e">
        <f t="shared" si="54"/>
        <v>#N/A</v>
      </c>
      <c r="AX107" s="26">
        <f t="shared" si="55"/>
        <v>497.98167425499167</v>
      </c>
      <c r="AY107" s="27">
        <f t="shared" si="56"/>
        <v>4.0055306333269857E-3</v>
      </c>
      <c r="AZ107" s="29">
        <f t="shared" si="57"/>
        <v>0.125</v>
      </c>
      <c r="BA107" s="29">
        <f t="shared" si="58"/>
        <v>497.97768441281261</v>
      </c>
      <c r="BB107" s="11"/>
      <c r="BC107" s="11"/>
    </row>
    <row r="108" spans="2:61" x14ac:dyDescent="0.3">
      <c r="C108" s="71"/>
      <c r="Z108" s="22">
        <v>90000</v>
      </c>
      <c r="AA108" s="4" cm="1">
        <f t="array" ref="AA108">_xlfn.IFS(AND($C$64="Yes",$C$78="Yes",$C$92="Yes",$C$50="Yes"),1/((1/AG108)+(1/AL108)+(1/AQ108)+(1/AV108)+(1/BA108)),AND($C$64="Yes",$C$78="Yes",$C$92="Yes",$C$50="No"),1/((1/AG108)+(1/AL108)+(1/AQ108)+(1/AV108)),AND($C$64="Yes",$C$78="Yes",$C$92="No",$C$50="No"),1/((1/AG108)+(1/AL108)+(1/AQ108)),AND($C$64="Yes",$C$78="No",$C$92="No",$C$50="No"),1/((1/AG108)+(1/AL108)),AND($C$64="No",$C$78="No",$C$92="No",$C$50="No"),1/((1/AG108)),AND($C$64="Yes",$C$78="No",$C$92="No",$C$50="Yes"),1/((1/AG108)+(1/AL108)+(1/BA108)), AND($C$64="No",$C$78="No",$C$92="No",$C$50="Yes"),1/((1/AG108)+(1/BA108)), AND($C$64="No",$C$78="Yes",$C$92="No",$C$50="Yes"),1/((1/AG108)+(1/AQ108)+(1/BA108)))</f>
        <v>0.32600224196698002</v>
      </c>
      <c r="AB108" s="28">
        <f t="shared" si="59"/>
        <v>0.79935871743486953</v>
      </c>
      <c r="AD108" s="26">
        <f t="shared" si="40"/>
        <v>0.33492201829102558</v>
      </c>
      <c r="AE108" s="27">
        <f t="shared" si="41"/>
        <v>0.11780972450961726</v>
      </c>
      <c r="AF108" s="28">
        <f t="shared" si="42"/>
        <v>0.25</v>
      </c>
      <c r="AG108" s="29">
        <f t="shared" si="61"/>
        <v>0.33111591340650565</v>
      </c>
      <c r="AH108" s="11"/>
      <c r="AI108" s="26">
        <f t="shared" si="43"/>
        <v>22.104853207207686</v>
      </c>
      <c r="AJ108" s="27">
        <f t="shared" si="44"/>
        <v>4.2411500823462209E-3</v>
      </c>
      <c r="AK108" s="29">
        <f t="shared" si="45"/>
        <v>0.125</v>
      </c>
      <c r="AL108" s="29">
        <f t="shared" si="46"/>
        <v>22.10096555129558</v>
      </c>
      <c r="AN108" s="26">
        <f t="shared" si="47"/>
        <v>176.83882565766149</v>
      </c>
      <c r="AO108" s="27">
        <f t="shared" si="48"/>
        <v>0.33929200658769765</v>
      </c>
      <c r="AP108" s="29">
        <f t="shared" si="49"/>
        <v>10</v>
      </c>
      <c r="AQ108" s="29" t="e">
        <f t="shared" si="50"/>
        <v>#N/A</v>
      </c>
      <c r="AS108" s="26">
        <f t="shared" si="51"/>
        <v>2679.376146328204</v>
      </c>
      <c r="AT108" s="27">
        <f t="shared" si="52"/>
        <v>0.16964600329384882</v>
      </c>
      <c r="AU108" s="29">
        <f t="shared" si="53"/>
        <v>5</v>
      </c>
      <c r="AV108" s="29" t="e">
        <f t="shared" si="54"/>
        <v>#N/A</v>
      </c>
      <c r="AX108" s="26">
        <f t="shared" si="55"/>
        <v>470.31602568526984</v>
      </c>
      <c r="AY108" s="27">
        <f t="shared" si="56"/>
        <v>4.2411500823462209E-3</v>
      </c>
      <c r="AZ108" s="29">
        <f t="shared" si="57"/>
        <v>0.125</v>
      </c>
      <c r="BA108" s="29">
        <f t="shared" si="58"/>
        <v>470.31180114650812</v>
      </c>
      <c r="BB108" s="11"/>
      <c r="BE108" s="11"/>
      <c r="BF108" s="11"/>
    </row>
    <row r="109" spans="2:61" x14ac:dyDescent="0.3">
      <c r="C109" s="71"/>
      <c r="Z109" s="22">
        <v>95000</v>
      </c>
      <c r="AA109" s="4" cm="1">
        <f t="array" ref="AA109">_xlfn.IFS(AND($C$64="Yes",$C$78="Yes",$C$92="Yes",$C$50="Yes"),1/((1/AG109)+(1/AL109)+(1/AQ109)+(1/AV109)+(1/BA109)),AND($C$64="Yes",$C$78="Yes",$C$92="Yes",$C$50="No"),1/((1/AG109)+(1/AL109)+(1/AQ109)+(1/AV109)),AND($C$64="Yes",$C$78="Yes",$C$92="No",$C$50="No"),1/((1/AG109)+(1/AL109)+(1/AQ109)),AND($C$64="Yes",$C$78="No",$C$92="No",$C$50="No"),1/((1/AG109)+(1/AL109)),AND($C$64="No",$C$78="No",$C$92="No",$C$50="No"),1/((1/AG109)),AND($C$64="Yes",$C$78="No",$C$92="No",$C$50="Yes"),1/((1/AG109)+(1/AL109)+(1/BA109)), AND($C$64="No",$C$78="No",$C$92="No",$C$50="Yes"),1/((1/AG109)+(1/BA109)), AND($C$64="No",$C$78="Yes",$C$92="No",$C$50="Yes"),1/((1/AG109)+(1/AQ109)+(1/BA109)))</f>
        <v>0.31088453272169841</v>
      </c>
      <c r="AB109" s="28">
        <f t="shared" si="59"/>
        <v>0.79935871743486953</v>
      </c>
      <c r="AD109" s="26">
        <f t="shared" si="40"/>
        <v>0.31729454364412946</v>
      </c>
      <c r="AE109" s="27">
        <f t="shared" si="41"/>
        <v>0.12435470920459597</v>
      </c>
      <c r="AF109" s="28">
        <f t="shared" si="42"/>
        <v>0.25</v>
      </c>
      <c r="AG109" s="29">
        <f t="shared" si="61"/>
        <v>0.31579388802437991</v>
      </c>
      <c r="AH109" s="11"/>
      <c r="AI109" s="26">
        <f t="shared" si="43"/>
        <v>20.941439880512544</v>
      </c>
      <c r="AJ109" s="27">
        <f t="shared" si="44"/>
        <v>4.4767695313654553E-3</v>
      </c>
      <c r="AK109" s="29">
        <f t="shared" si="45"/>
        <v>0.125</v>
      </c>
      <c r="AL109" s="29">
        <f t="shared" si="46"/>
        <v>20.937336251552789</v>
      </c>
      <c r="AN109" s="26">
        <f t="shared" si="47"/>
        <v>167.53151904410035</v>
      </c>
      <c r="AO109" s="27">
        <f t="shared" si="48"/>
        <v>0.35814156250923646</v>
      </c>
      <c r="AP109" s="29">
        <f t="shared" si="49"/>
        <v>10</v>
      </c>
      <c r="AQ109" s="29" t="e">
        <f t="shared" si="50"/>
        <v>#N/A</v>
      </c>
      <c r="AS109" s="26">
        <f t="shared" si="51"/>
        <v>2538.3563491530358</v>
      </c>
      <c r="AT109" s="27">
        <f t="shared" si="52"/>
        <v>0.17907078125461823</v>
      </c>
      <c r="AU109" s="29">
        <f t="shared" si="53"/>
        <v>5</v>
      </c>
      <c r="AV109" s="29" t="e">
        <f t="shared" si="54"/>
        <v>#N/A</v>
      </c>
      <c r="AX109" s="26">
        <f t="shared" si="55"/>
        <v>445.56255064920316</v>
      </c>
      <c r="AY109" s="27">
        <f t="shared" si="56"/>
        <v>4.4767695313654553E-3</v>
      </c>
      <c r="AZ109" s="29">
        <f t="shared" si="57"/>
        <v>0.125</v>
      </c>
      <c r="BA109" s="29">
        <f t="shared" si="58"/>
        <v>445.55809141386158</v>
      </c>
      <c r="BB109" s="11"/>
      <c r="BE109" s="11"/>
      <c r="BF109" s="11"/>
    </row>
    <row r="110" spans="2:61" x14ac:dyDescent="0.3">
      <c r="Z110" s="22">
        <v>100000</v>
      </c>
      <c r="AA110" s="4" cm="1">
        <f t="array" ref="AA110">_xlfn.IFS(AND($C$64="Yes",$C$78="Yes",$C$92="Yes",$C$50="Yes"),1/((1/AG110)+(1/AL110)+(1/AQ110)+(1/AV110)+(1/BA110)),AND($C$64="Yes",$C$78="Yes",$C$92="Yes",$C$50="No"),1/((1/AG110)+(1/AL110)+(1/AQ110)+(1/AV110)),AND($C$64="Yes",$C$78="Yes",$C$92="No",$C$50="No"),1/((1/AG110)+(1/AL110)+(1/AQ110)),AND($C$64="Yes",$C$78="No",$C$92="No",$C$50="No"),1/((1/AG110)+(1/AL110)),AND($C$64="No",$C$78="No",$C$92="No",$C$50="No"),1/((1/AG110)),AND($C$64="Yes",$C$78="No",$C$92="No",$C$50="Yes"),1/((1/AG110)+(1/AL110)+(1/BA110)), AND($C$64="No",$C$78="No",$C$92="No",$C$50="Yes"),1/((1/AG110)+(1/BA110)), AND($C$64="No",$C$78="Yes",$C$92="No",$C$50="Yes"),1/((1/AG110)+(1/AQ110)+(1/BA110)))</f>
        <v>0.29787762998660794</v>
      </c>
      <c r="AB110" s="28">
        <f t="shared" si="59"/>
        <v>0.79935871743486953</v>
      </c>
      <c r="AD110" s="26">
        <f t="shared" si="40"/>
        <v>0.30142981646192302</v>
      </c>
      <c r="AE110" s="27">
        <f t="shared" si="41"/>
        <v>0.1308996938995747</v>
      </c>
      <c r="AF110" s="28">
        <f t="shared" si="42"/>
        <v>0.25</v>
      </c>
      <c r="AG110" s="29">
        <f t="shared" si="61"/>
        <v>0.30262273989429406</v>
      </c>
      <c r="AH110" s="11"/>
      <c r="AI110" s="26">
        <f t="shared" si="43"/>
        <v>19.894367886486922</v>
      </c>
      <c r="AJ110" s="27">
        <f t="shared" si="44"/>
        <v>4.7123889803846897E-3</v>
      </c>
      <c r="AK110" s="29">
        <f t="shared" si="45"/>
        <v>0.125</v>
      </c>
      <c r="AL110" s="29">
        <f t="shared" si="46"/>
        <v>19.890048285750641</v>
      </c>
      <c r="AN110" s="26">
        <f t="shared" si="47"/>
        <v>159.15494309189538</v>
      </c>
      <c r="AO110" s="27">
        <f t="shared" si="48"/>
        <v>0.37699111843077515</v>
      </c>
      <c r="AP110" s="29">
        <f t="shared" si="49"/>
        <v>10</v>
      </c>
      <c r="AQ110" s="29" t="e">
        <f t="shared" si="50"/>
        <v>#N/A</v>
      </c>
      <c r="AS110" s="26">
        <f t="shared" si="51"/>
        <v>2411.438531695384</v>
      </c>
      <c r="AT110" s="27">
        <f t="shared" si="52"/>
        <v>0.18849555921538758</v>
      </c>
      <c r="AU110" s="29">
        <f t="shared" si="53"/>
        <v>5</v>
      </c>
      <c r="AV110" s="29" t="e">
        <f t="shared" si="54"/>
        <v>#N/A</v>
      </c>
      <c r="AX110" s="26">
        <f t="shared" si="55"/>
        <v>423.28442311674291</v>
      </c>
      <c r="AY110" s="27">
        <f t="shared" si="56"/>
        <v>4.7123889803846897E-3</v>
      </c>
      <c r="AZ110" s="29">
        <f t="shared" si="57"/>
        <v>0.125</v>
      </c>
      <c r="BA110" s="29">
        <f t="shared" si="58"/>
        <v>423.27972918482442</v>
      </c>
      <c r="BB110" s="11"/>
      <c r="BE110" s="11"/>
      <c r="BF110" s="11"/>
    </row>
    <row r="111" spans="2:61" x14ac:dyDescent="0.3">
      <c r="Z111" s="44">
        <v>150000</v>
      </c>
      <c r="AA111" s="4" cm="1">
        <f t="array" ref="AA111">_xlfn.IFS(AND($C$64="Yes",$C$78="Yes",$C$92="Yes",$C$50="Yes"),1/((1/AG111)+(1/AL111)+(1/AQ111)+(1/AV111)+(1/BA111)),AND($C$64="Yes",$C$78="Yes",$C$92="Yes",$C$50="No"),1/((1/AG111)+(1/AL111)+(1/AQ111)+(1/AV111)),AND($C$64="Yes",$C$78="Yes",$C$92="No",$C$50="No"),1/((1/AG111)+(1/AL111)+(1/AQ111)),AND($C$64="Yes",$C$78="No",$C$92="No",$C$50="No"),1/((1/AG111)+(1/AL111)),AND($C$64="No",$C$78="No",$C$92="No",$C$50="No"),1/((1/AG111)),AND($C$64="Yes",$C$78="No",$C$92="No",$C$50="Yes"),1/((1/AG111)+(1/AL111)+(1/BA111)), AND($C$64="No",$C$78="No",$C$92="No",$C$50="Yes"),1/((1/AG111)+(1/BA111)), AND($C$64="No",$C$78="Yes",$C$92="No",$C$50="Yes"),1/((1/AG111)+(1/AQ111)+(1/BA111)))</f>
        <v>0.24520015474999154</v>
      </c>
      <c r="AB111" s="28">
        <f t="shared" si="59"/>
        <v>0.79935871743486953</v>
      </c>
      <c r="AD111" s="26">
        <f t="shared" si="40"/>
        <v>0.20095321097461535</v>
      </c>
      <c r="AE111" s="27">
        <f t="shared" si="41"/>
        <v>0.19634954084936207</v>
      </c>
      <c r="AF111" s="28">
        <f t="shared" si="42"/>
        <v>0.25</v>
      </c>
      <c r="AG111" s="29">
        <f t="shared" ref="AG111:AG174" si="62">SQRT(AF111^(2)+ABS(AD111-AE111)^(2))</f>
        <v>0.25004238396444345</v>
      </c>
      <c r="AH111" s="11"/>
      <c r="AI111" s="26">
        <f t="shared" si="43"/>
        <v>13.262911924324612</v>
      </c>
      <c r="AJ111" s="27">
        <f t="shared" si="44"/>
        <v>7.0685834705770346E-3</v>
      </c>
      <c r="AK111" s="29">
        <f t="shared" si="45"/>
        <v>0.125</v>
      </c>
      <c r="AL111" s="29">
        <f t="shared" si="46"/>
        <v>13.256432690481413</v>
      </c>
      <c r="AN111" s="26">
        <f t="shared" si="47"/>
        <v>106.1032953945969</v>
      </c>
      <c r="AO111" s="27">
        <f t="shared" si="48"/>
        <v>0.56548667764616278</v>
      </c>
      <c r="AP111" s="29">
        <f t="shared" si="49"/>
        <v>10</v>
      </c>
      <c r="AQ111" s="29" t="e">
        <f t="shared" si="50"/>
        <v>#N/A</v>
      </c>
      <c r="AS111" s="26">
        <f t="shared" si="51"/>
        <v>1607.6256877969224</v>
      </c>
      <c r="AT111" s="27">
        <f t="shared" si="52"/>
        <v>0.28274333882308139</v>
      </c>
      <c r="AU111" s="29">
        <f t="shared" si="53"/>
        <v>5</v>
      </c>
      <c r="AV111" s="29" t="e">
        <f t="shared" si="54"/>
        <v>#N/A</v>
      </c>
      <c r="AX111" s="26">
        <f t="shared" si="55"/>
        <v>282.18961541116192</v>
      </c>
      <c r="AY111" s="27">
        <f t="shared" si="56"/>
        <v>7.0685834705770346E-3</v>
      </c>
      <c r="AZ111" s="29">
        <f t="shared" si="57"/>
        <v>0.125</v>
      </c>
      <c r="BA111" s="29">
        <f t="shared" si="58"/>
        <v>282.18257451366873</v>
      </c>
    </row>
    <row r="112" spans="2:61" x14ac:dyDescent="0.3">
      <c r="Z112" s="22">
        <v>200000</v>
      </c>
      <c r="AA112" s="4" cm="1">
        <f t="array" ref="AA112">_xlfn.IFS(AND($C$64="Yes",$C$78="Yes",$C$92="Yes",$C$50="Yes"),1/((1/AG112)+(1/AL112)+(1/AQ112)+(1/AV112)+(1/BA112)),AND($C$64="Yes",$C$78="Yes",$C$92="Yes",$C$50="No"),1/((1/AG112)+(1/AL112)+(1/AQ112)+(1/AV112)),AND($C$64="Yes",$C$78="Yes",$C$92="No",$C$50="No"),1/((1/AG112)+(1/AL112)+(1/AQ112)),AND($C$64="Yes",$C$78="No",$C$92="No",$C$50="No"),1/((1/AG112)+(1/AL112)),AND($C$64="No",$C$78="No",$C$92="No",$C$50="No"),1/((1/AG112)),AND($C$64="Yes",$C$78="No",$C$92="No",$C$50="Yes"),1/((1/AG112)+(1/AL112)+(1/BA112)), AND($C$64="No",$C$78="No",$C$92="No",$C$50="Yes"),1/((1/AG112)+(1/BA112)), AND($C$64="No",$C$78="Yes",$C$92="No",$C$50="Yes"),1/((1/AG112)+(1/AQ112)+(1/BA112)))</f>
        <v>0.26590552381329541</v>
      </c>
      <c r="AB112" s="28">
        <f t="shared" si="59"/>
        <v>0.79935871743486953</v>
      </c>
      <c r="AD112" s="26">
        <f t="shared" si="40"/>
        <v>0.15071490823096151</v>
      </c>
      <c r="AE112" s="27">
        <f t="shared" si="41"/>
        <v>0.26179938779914941</v>
      </c>
      <c r="AF112" s="28">
        <f t="shared" si="42"/>
        <v>0.25</v>
      </c>
      <c r="AG112" s="29">
        <f t="shared" si="62"/>
        <v>0.27356856837168841</v>
      </c>
      <c r="AH112" s="11"/>
      <c r="AI112" s="26">
        <f t="shared" si="43"/>
        <v>9.947183943243461</v>
      </c>
      <c r="AJ112" s="27">
        <f t="shared" si="44"/>
        <v>9.4247779607693795E-3</v>
      </c>
      <c r="AK112" s="29">
        <f t="shared" si="45"/>
        <v>0.125</v>
      </c>
      <c r="AL112" s="29">
        <f t="shared" si="46"/>
        <v>9.9385452772103502</v>
      </c>
      <c r="AN112" s="26">
        <f t="shared" si="47"/>
        <v>79.577471545947688</v>
      </c>
      <c r="AO112" s="27">
        <f t="shared" si="48"/>
        <v>0.7539822368615503</v>
      </c>
      <c r="AP112" s="29">
        <f t="shared" si="49"/>
        <v>10</v>
      </c>
      <c r="AQ112" s="29" t="e">
        <f t="shared" si="50"/>
        <v>#N/A</v>
      </c>
      <c r="AS112" s="26">
        <f t="shared" si="51"/>
        <v>1205.719265847692</v>
      </c>
      <c r="AT112" s="27">
        <f t="shared" si="52"/>
        <v>0.37699111843077515</v>
      </c>
      <c r="AU112" s="29">
        <f t="shared" si="53"/>
        <v>5</v>
      </c>
      <c r="AV112" s="29" t="e">
        <f t="shared" si="54"/>
        <v>#N/A</v>
      </c>
      <c r="AX112" s="26">
        <f t="shared" si="55"/>
        <v>211.64221155837146</v>
      </c>
      <c r="AY112" s="27">
        <f t="shared" si="56"/>
        <v>9.4247779607693795E-3</v>
      </c>
      <c r="AZ112" s="29">
        <f t="shared" si="57"/>
        <v>0.125</v>
      </c>
      <c r="BA112" s="29">
        <f t="shared" si="58"/>
        <v>211.63282369576507</v>
      </c>
    </row>
    <row r="113" spans="26:61" x14ac:dyDescent="0.3">
      <c r="Z113" s="44">
        <v>250000</v>
      </c>
      <c r="AA113" s="4" cm="1">
        <f t="array" ref="AA113">_xlfn.IFS(AND($C$64="Yes",$C$78="Yes",$C$92="Yes",$C$50="Yes"),1/((1/AG113)+(1/AL113)+(1/AQ113)+(1/AV113)+(1/BA113)),AND($C$64="Yes",$C$78="Yes",$C$92="Yes",$C$50="No"),1/((1/AG113)+(1/AL113)+(1/AQ113)+(1/AV113)),AND($C$64="Yes",$C$78="Yes",$C$92="No",$C$50="No"),1/((1/AG113)+(1/AL113)+(1/AQ113)),AND($C$64="Yes",$C$78="No",$C$92="No",$C$50="No"),1/((1/AG113)+(1/AL113)),AND($C$64="No",$C$78="No",$C$92="No",$C$50="No"),1/((1/AG113)),AND($C$64="Yes",$C$78="No",$C$92="No",$C$50="Yes"),1/((1/AG113)+(1/AL113)+(1/BA113)), AND($C$64="No",$C$78="No",$C$92="No",$C$50="Yes"),1/((1/AG113)+(1/BA113)), AND($C$64="No",$C$78="Yes",$C$92="No",$C$50="Yes"),1/((1/AG113)+(1/AQ113)+(1/BA113)))</f>
        <v>0.31107625407423301</v>
      </c>
      <c r="AB113" s="28">
        <f t="shared" si="59"/>
        <v>0.79935871743486953</v>
      </c>
      <c r="AD113" s="26">
        <f t="shared" si="40"/>
        <v>0.12057192658476922</v>
      </c>
      <c r="AE113" s="27">
        <f t="shared" si="41"/>
        <v>0.32724923474893675</v>
      </c>
      <c r="AF113" s="28">
        <f t="shared" si="42"/>
        <v>0.25</v>
      </c>
      <c r="AG113" s="29">
        <f t="shared" si="62"/>
        <v>0.32436940316556717</v>
      </c>
      <c r="AH113" s="11"/>
      <c r="AI113" s="26">
        <f t="shared" si="43"/>
        <v>7.9577471545947676</v>
      </c>
      <c r="AJ113" s="27">
        <f t="shared" si="44"/>
        <v>1.1780972450961723E-2</v>
      </c>
      <c r="AK113" s="29">
        <f t="shared" si="45"/>
        <v>0.125</v>
      </c>
      <c r="AL113" s="29">
        <f t="shared" si="46"/>
        <v>7.9469493246007943</v>
      </c>
      <c r="AN113" s="26">
        <f t="shared" si="47"/>
        <v>63.66197723675814</v>
      </c>
      <c r="AO113" s="27">
        <f t="shared" si="48"/>
        <v>0.94247779607693793</v>
      </c>
      <c r="AP113" s="29">
        <f t="shared" si="49"/>
        <v>10</v>
      </c>
      <c r="AQ113" s="29" t="e">
        <f t="shared" si="50"/>
        <v>#N/A</v>
      </c>
      <c r="AS113" s="26">
        <f t="shared" si="51"/>
        <v>964.57541267815373</v>
      </c>
      <c r="AT113" s="27">
        <f t="shared" si="52"/>
        <v>0.47123889803846897</v>
      </c>
      <c r="AU113" s="29">
        <f t="shared" si="53"/>
        <v>5</v>
      </c>
      <c r="AV113" s="29" t="e">
        <f t="shared" si="54"/>
        <v>#N/A</v>
      </c>
      <c r="AX113" s="26">
        <f t="shared" si="55"/>
        <v>169.31376924669718</v>
      </c>
      <c r="AY113" s="27">
        <f t="shared" si="56"/>
        <v>1.1780972450961723E-2</v>
      </c>
      <c r="AZ113" s="29">
        <f t="shared" si="57"/>
        <v>0.125</v>
      </c>
      <c r="BA113" s="29">
        <f t="shared" si="58"/>
        <v>169.30203441959284</v>
      </c>
    </row>
    <row r="114" spans="26:61" x14ac:dyDescent="0.3">
      <c r="Z114" s="22">
        <v>300000</v>
      </c>
      <c r="AA114" s="4" cm="1">
        <f t="array" ref="AA114">_xlfn.IFS(AND($C$64="Yes",$C$78="Yes",$C$92="Yes",$C$50="Yes"),1/((1/AG114)+(1/AL114)+(1/AQ114)+(1/AV114)+(1/BA114)),AND($C$64="Yes",$C$78="Yes",$C$92="Yes",$C$50="No"),1/((1/AG114)+(1/AL114)+(1/AQ114)+(1/AV114)),AND($C$64="Yes",$C$78="Yes",$C$92="No",$C$50="No"),1/((1/AG114)+(1/AL114)+(1/AQ114)),AND($C$64="Yes",$C$78="No",$C$92="No",$C$50="No"),1/((1/AG114)+(1/AL114)),AND($C$64="No",$C$78="No",$C$92="No",$C$50="No"),1/((1/AG114)),AND($C$64="Yes",$C$78="No",$C$92="No",$C$50="Yes"),1/((1/AG114)+(1/AL114)+(1/BA114)), AND($C$64="No",$C$78="No",$C$92="No",$C$50="Yes"),1/((1/AG114)+(1/BA114)), AND($C$64="No",$C$78="Yes",$C$92="No",$C$50="Yes"),1/((1/AG114)+(1/AQ114)+(1/BA114)))</f>
        <v>0.36251749090957874</v>
      </c>
      <c r="AB114" s="28">
        <f t="shared" si="59"/>
        <v>0.79935871743486953</v>
      </c>
      <c r="AD114" s="26">
        <f t="shared" si="40"/>
        <v>0.10047660548730768</v>
      </c>
      <c r="AE114" s="27">
        <f t="shared" si="41"/>
        <v>0.39269908169872414</v>
      </c>
      <c r="AF114" s="28">
        <f t="shared" si="42"/>
        <v>0.25</v>
      </c>
      <c r="AG114" s="29">
        <f t="shared" si="62"/>
        <v>0.38456985789727699</v>
      </c>
      <c r="AH114" s="11"/>
      <c r="AI114" s="26">
        <f t="shared" si="43"/>
        <v>6.6314559621623062</v>
      </c>
      <c r="AJ114" s="27">
        <f t="shared" si="44"/>
        <v>1.4137166941154069E-2</v>
      </c>
      <c r="AK114" s="29">
        <f t="shared" si="45"/>
        <v>0.125</v>
      </c>
      <c r="AL114" s="29">
        <f t="shared" si="46"/>
        <v>6.6184993040406921</v>
      </c>
      <c r="AN114" s="26">
        <f t="shared" si="47"/>
        <v>53.051647697298449</v>
      </c>
      <c r="AO114" s="27">
        <f t="shared" si="48"/>
        <v>1.1309733552923256</v>
      </c>
      <c r="AP114" s="29">
        <f t="shared" si="49"/>
        <v>10</v>
      </c>
      <c r="AQ114" s="29" t="e">
        <f t="shared" si="50"/>
        <v>#N/A</v>
      </c>
      <c r="AS114" s="26">
        <f t="shared" si="51"/>
        <v>803.81284389846121</v>
      </c>
      <c r="AT114" s="27">
        <f t="shared" si="52"/>
        <v>0.56548667764616278</v>
      </c>
      <c r="AU114" s="29">
        <f t="shared" si="53"/>
        <v>5</v>
      </c>
      <c r="AV114" s="29" t="e">
        <f t="shared" si="54"/>
        <v>#N/A</v>
      </c>
      <c r="AX114" s="26">
        <f t="shared" si="55"/>
        <v>141.09480770558096</v>
      </c>
      <c r="AY114" s="27">
        <f t="shared" si="56"/>
        <v>1.4137166941154069E-2</v>
      </c>
      <c r="AZ114" s="29">
        <f t="shared" si="57"/>
        <v>0.125</v>
      </c>
      <c r="BA114" s="29">
        <f t="shared" si="58"/>
        <v>141.08072591474794</v>
      </c>
    </row>
    <row r="115" spans="26:61" x14ac:dyDescent="0.3">
      <c r="Z115" s="44">
        <v>350000</v>
      </c>
      <c r="AA115" s="4" cm="1">
        <f t="array" ref="AA115">_xlfn.IFS(AND($C$64="Yes",$C$78="Yes",$C$92="Yes",$C$50="Yes"),1/((1/AG115)+(1/AL115)+(1/AQ115)+(1/AV115)+(1/BA115)),AND($C$64="Yes",$C$78="Yes",$C$92="Yes",$C$50="No"),1/((1/AG115)+(1/AL115)+(1/AQ115)+(1/AV115)),AND($C$64="Yes",$C$78="Yes",$C$92="No",$C$50="No"),1/((1/AG115)+(1/AL115)+(1/AQ115)),AND($C$64="Yes",$C$78="No",$C$92="No",$C$50="No"),1/((1/AG115)+(1/AL115)),AND($C$64="No",$C$78="No",$C$92="No",$C$50="No"),1/((1/AG115)),AND($C$64="Yes",$C$78="No",$C$92="No",$C$50="Yes"),1/((1/AG115)+(1/AL115)+(1/BA115)), AND($C$64="No",$C$78="No",$C$92="No",$C$50="Yes"),1/((1/AG115)+(1/BA115)), AND($C$64="No",$C$78="Yes",$C$92="No",$C$50="Yes"),1/((1/AG115)+(1/AQ115)+(1/BA115)))</f>
        <v>0.41395822133836474</v>
      </c>
      <c r="AB115" s="28">
        <f t="shared" si="59"/>
        <v>0.79935871743486953</v>
      </c>
      <c r="AD115" s="26">
        <f t="shared" si="40"/>
        <v>8.6122804703406594E-2</v>
      </c>
      <c r="AE115" s="27">
        <f t="shared" si="41"/>
        <v>0.45814892864851148</v>
      </c>
      <c r="AF115" s="28">
        <f t="shared" si="42"/>
        <v>0.25</v>
      </c>
      <c r="AG115" s="29">
        <f t="shared" si="62"/>
        <v>0.44822253055554728</v>
      </c>
      <c r="AH115" s="11"/>
      <c r="AI115" s="26">
        <f t="shared" si="43"/>
        <v>5.6841051104248344</v>
      </c>
      <c r="AJ115" s="27">
        <f t="shared" si="44"/>
        <v>1.6493361431346411E-2</v>
      </c>
      <c r="AK115" s="29">
        <f t="shared" si="45"/>
        <v>0.125</v>
      </c>
      <c r="AL115" s="29">
        <f t="shared" si="46"/>
        <v>5.6689900279793246</v>
      </c>
      <c r="AN115" s="26">
        <f t="shared" si="47"/>
        <v>45.472840883398675</v>
      </c>
      <c r="AO115" s="27">
        <f t="shared" si="48"/>
        <v>1.319468914507713</v>
      </c>
      <c r="AP115" s="29">
        <f t="shared" si="49"/>
        <v>10</v>
      </c>
      <c r="AQ115" s="29" t="e">
        <f t="shared" si="50"/>
        <v>#N/A</v>
      </c>
      <c r="AS115" s="26">
        <f t="shared" si="51"/>
        <v>688.98243762725258</v>
      </c>
      <c r="AT115" s="27">
        <f t="shared" si="52"/>
        <v>0.65973445725385649</v>
      </c>
      <c r="AU115" s="29">
        <f t="shared" si="53"/>
        <v>5</v>
      </c>
      <c r="AV115" s="29" t="e">
        <f t="shared" si="54"/>
        <v>#N/A</v>
      </c>
      <c r="AX115" s="26">
        <f t="shared" si="55"/>
        <v>120.93840660478371</v>
      </c>
      <c r="AY115" s="27">
        <f t="shared" si="56"/>
        <v>1.6493361431346411E-2</v>
      </c>
      <c r="AZ115" s="29">
        <f t="shared" si="57"/>
        <v>0.125</v>
      </c>
      <c r="BA115" s="29">
        <f t="shared" si="58"/>
        <v>120.92197785114514</v>
      </c>
    </row>
    <row r="116" spans="26:61" x14ac:dyDescent="0.3">
      <c r="Z116" s="22">
        <v>400000</v>
      </c>
      <c r="AA116" s="4" cm="1">
        <f t="array" ref="AA116">_xlfn.IFS(AND($C$64="Yes",$C$78="Yes",$C$92="Yes",$C$50="Yes"),1/((1/AG116)+(1/AL116)+(1/AQ116)+(1/AV116)+(1/BA116)),AND($C$64="Yes",$C$78="Yes",$C$92="Yes",$C$50="No"),1/((1/AG116)+(1/AL116)+(1/AQ116)+(1/AV116)),AND($C$64="Yes",$C$78="Yes",$C$92="No",$C$50="No"),1/((1/AG116)+(1/AL116)+(1/AQ116)),AND($C$64="Yes",$C$78="No",$C$92="No",$C$50="No"),1/((1/AG116)+(1/AL116)),AND($C$64="No",$C$78="No",$C$92="No",$C$50="No"),1/((1/AG116)),AND($C$64="Yes",$C$78="No",$C$92="No",$C$50="Yes"),1/((1/AG116)+(1/AL116)+(1/BA116)), AND($C$64="No",$C$78="No",$C$92="No",$C$50="Yes"),1/((1/AG116)+(1/BA116)), AND($C$64="No",$C$78="Yes",$C$92="No",$C$50="Yes"),1/((1/AG116)+(1/AQ116)+(1/BA116)))</f>
        <v>0.4630482843535057</v>
      </c>
      <c r="AB116" s="28">
        <f t="shared" si="59"/>
        <v>0.79935871743486953</v>
      </c>
      <c r="AD116" s="26">
        <f t="shared" si="40"/>
        <v>7.5357454115480754E-2</v>
      </c>
      <c r="AE116" s="27">
        <f t="shared" si="41"/>
        <v>0.52359877559829882</v>
      </c>
      <c r="AF116" s="28">
        <f t="shared" si="42"/>
        <v>0.25</v>
      </c>
      <c r="AG116" s="29">
        <f t="shared" si="62"/>
        <v>0.51324485607228743</v>
      </c>
      <c r="AH116" s="11"/>
      <c r="AI116" s="26">
        <f t="shared" si="43"/>
        <v>4.9735919716217305</v>
      </c>
      <c r="AJ116" s="27">
        <f t="shared" si="44"/>
        <v>1.8849555921538759E-2</v>
      </c>
      <c r="AK116" s="29">
        <f t="shared" si="45"/>
        <v>0.125</v>
      </c>
      <c r="AL116" s="29">
        <f t="shared" si="46"/>
        <v>4.9563189370679703</v>
      </c>
      <c r="AN116" s="26">
        <f t="shared" si="47"/>
        <v>39.788735772973844</v>
      </c>
      <c r="AO116" s="27">
        <f t="shared" si="48"/>
        <v>1.5079644737231006</v>
      </c>
      <c r="AP116" s="29">
        <f t="shared" si="49"/>
        <v>10</v>
      </c>
      <c r="AQ116" s="29" t="e">
        <f t="shared" si="50"/>
        <v>#N/A</v>
      </c>
      <c r="AS116" s="26">
        <f t="shared" si="51"/>
        <v>602.85963292384599</v>
      </c>
      <c r="AT116" s="27">
        <f t="shared" si="52"/>
        <v>0.7539822368615503</v>
      </c>
      <c r="AU116" s="29">
        <f t="shared" si="53"/>
        <v>5</v>
      </c>
      <c r="AV116" s="29" t="e">
        <f t="shared" si="54"/>
        <v>#N/A</v>
      </c>
      <c r="AX116" s="26">
        <f t="shared" si="55"/>
        <v>105.82110577918573</v>
      </c>
      <c r="AY116" s="27">
        <f t="shared" si="56"/>
        <v>1.8849555921538759E-2</v>
      </c>
      <c r="AZ116" s="29">
        <f t="shared" si="57"/>
        <v>0.125</v>
      </c>
      <c r="BA116" s="29">
        <f t="shared" si="58"/>
        <v>105.80233006381876</v>
      </c>
    </row>
    <row r="117" spans="26:61" x14ac:dyDescent="0.3">
      <c r="Z117" s="44">
        <v>450000</v>
      </c>
      <c r="AA117" s="4" cm="1">
        <f t="array" ref="AA117">_xlfn.IFS(AND($C$64="Yes",$C$78="Yes",$C$92="Yes",$C$50="Yes"),1/((1/AG117)+(1/AL117)+(1/AQ117)+(1/AV117)+(1/BA117)),AND($C$64="Yes",$C$78="Yes",$C$92="Yes",$C$50="No"),1/((1/AG117)+(1/AL117)+(1/AQ117)+(1/AV117)),AND($C$64="Yes",$C$78="Yes",$C$92="No",$C$50="No"),1/((1/AG117)+(1/AL117)+(1/AQ117)),AND($C$64="Yes",$C$78="No",$C$92="No",$C$50="No"),1/((1/AG117)+(1/AL117)),AND($C$64="No",$C$78="No",$C$92="No",$C$50="No"),1/((1/AG117)),AND($C$64="Yes",$C$78="No",$C$92="No",$C$50="Yes"),1/((1/AG117)+(1/AL117)+(1/BA117)), AND($C$64="No",$C$78="No",$C$92="No",$C$50="Yes"),1/((1/AG117)+(1/BA117)), AND($C$64="No",$C$78="Yes",$C$92="No",$C$50="Yes"),1/((1/AG117)+(1/AQ117)+(1/BA117)))</f>
        <v>0.50879400489359661</v>
      </c>
      <c r="AB117" s="28">
        <f t="shared" si="59"/>
        <v>0.79935871743486953</v>
      </c>
      <c r="AC117" s="11"/>
      <c r="AD117" s="26">
        <f t="shared" si="40"/>
        <v>6.6984403658205113E-2</v>
      </c>
      <c r="AE117" s="27">
        <f t="shared" si="41"/>
        <v>0.58904862254808621</v>
      </c>
      <c r="AF117" s="28">
        <f t="shared" si="42"/>
        <v>0.25</v>
      </c>
      <c r="AG117" s="29">
        <f t="shared" si="62"/>
        <v>0.57883594277230366</v>
      </c>
      <c r="AH117" s="11"/>
      <c r="AI117" s="26">
        <f t="shared" si="43"/>
        <v>4.4209706414415377</v>
      </c>
      <c r="AJ117" s="27">
        <f t="shared" si="44"/>
        <v>2.1205750411731103E-2</v>
      </c>
      <c r="AK117" s="29">
        <f t="shared" si="45"/>
        <v>0.125</v>
      </c>
      <c r="AL117" s="29">
        <f t="shared" si="46"/>
        <v>4.4015401959244365</v>
      </c>
      <c r="AN117" s="26">
        <f t="shared" si="47"/>
        <v>35.367765131532302</v>
      </c>
      <c r="AO117" s="27">
        <f t="shared" si="48"/>
        <v>1.6964600329384882</v>
      </c>
      <c r="AP117" s="29">
        <f t="shared" si="49"/>
        <v>10</v>
      </c>
      <c r="AQ117" s="29" t="e">
        <f t="shared" si="50"/>
        <v>#N/A</v>
      </c>
      <c r="AS117" s="26">
        <f t="shared" si="51"/>
        <v>535.87522926564088</v>
      </c>
      <c r="AT117" s="27">
        <f t="shared" si="52"/>
        <v>0.84823001646924412</v>
      </c>
      <c r="AU117" s="29">
        <f t="shared" si="53"/>
        <v>5</v>
      </c>
      <c r="AV117" s="29" t="e">
        <f t="shared" si="54"/>
        <v>#N/A</v>
      </c>
      <c r="AX117" s="26">
        <f t="shared" si="55"/>
        <v>94.063205137053984</v>
      </c>
      <c r="AY117" s="27">
        <f t="shared" si="56"/>
        <v>2.1205750411731103E-2</v>
      </c>
      <c r="AZ117" s="29">
        <f t="shared" si="57"/>
        <v>0.125</v>
      </c>
      <c r="BA117" s="29">
        <f t="shared" si="58"/>
        <v>94.042082461189807</v>
      </c>
    </row>
    <row r="118" spans="26:61" x14ac:dyDescent="0.3">
      <c r="Z118" s="22">
        <v>500000</v>
      </c>
      <c r="AA118" s="4" cm="1">
        <f t="array" ref="AA118">_xlfn.IFS(AND($C$64="Yes",$C$78="Yes",$C$92="Yes",$C$50="Yes"),1/((1/AG118)+(1/AL118)+(1/AQ118)+(1/AV118)+(1/BA118)),AND($C$64="Yes",$C$78="Yes",$C$92="Yes",$C$50="No"),1/((1/AG118)+(1/AL118)+(1/AQ118)+(1/AV118)),AND($C$64="Yes",$C$78="Yes",$C$92="No",$C$50="No"),1/((1/AG118)+(1/AL118)+(1/AQ118)),AND($C$64="Yes",$C$78="No",$C$92="No",$C$50="No"),1/((1/AG118)+(1/AL118)),AND($C$64="No",$C$78="No",$C$92="No",$C$50="No"),1/((1/AG118)),AND($C$64="Yes",$C$78="No",$C$92="No",$C$50="Yes"),1/((1/AG118)+(1/AL118)+(1/BA118)), AND($C$64="No",$C$78="No",$C$92="No",$C$50="Yes"),1/((1/AG118)+(1/BA118)), AND($C$64="No",$C$78="Yes",$C$92="No",$C$50="Yes"),1/((1/AG118)+(1/AQ118)+(1/BA118)))</f>
        <v>0.55074702564162692</v>
      </c>
      <c r="AB118" s="28">
        <f t="shared" si="59"/>
        <v>0.79935871743486953</v>
      </c>
      <c r="AD118" s="26">
        <f t="shared" si="40"/>
        <v>6.0285963292384608E-2</v>
      </c>
      <c r="AE118" s="27">
        <f t="shared" si="41"/>
        <v>0.65449846949787349</v>
      </c>
      <c r="AF118" s="28">
        <f t="shared" si="42"/>
        <v>0.25</v>
      </c>
      <c r="AG118" s="29">
        <f t="shared" si="62"/>
        <v>0.64466154106709994</v>
      </c>
      <c r="AH118" s="11"/>
      <c r="AI118" s="26">
        <f t="shared" si="43"/>
        <v>3.9788735772973838</v>
      </c>
      <c r="AJ118" s="27">
        <f t="shared" si="44"/>
        <v>2.3561944901923447E-2</v>
      </c>
      <c r="AK118" s="29">
        <f t="shared" si="45"/>
        <v>0.125</v>
      </c>
      <c r="AL118" s="29">
        <f t="shared" si="46"/>
        <v>3.9572863314856104</v>
      </c>
      <c r="AN118" s="26">
        <f t="shared" si="47"/>
        <v>31.83098861837907</v>
      </c>
      <c r="AO118" s="27">
        <f t="shared" si="48"/>
        <v>1.8849555921538759</v>
      </c>
      <c r="AP118" s="29">
        <f t="shared" si="49"/>
        <v>10</v>
      </c>
      <c r="AQ118" s="29" t="e">
        <f t="shared" si="50"/>
        <v>#N/A</v>
      </c>
      <c r="AS118" s="26">
        <f t="shared" si="51"/>
        <v>482.28770633907686</v>
      </c>
      <c r="AT118" s="27">
        <f t="shared" si="52"/>
        <v>0.94247779607693793</v>
      </c>
      <c r="AU118" s="29">
        <f t="shared" si="53"/>
        <v>5</v>
      </c>
      <c r="AV118" s="29" t="e">
        <f t="shared" si="54"/>
        <v>#N/A</v>
      </c>
      <c r="AX118" s="26">
        <f t="shared" si="55"/>
        <v>84.656884623348589</v>
      </c>
      <c r="AY118" s="27">
        <f t="shared" si="56"/>
        <v>2.3561944901923447E-2</v>
      </c>
      <c r="AZ118" s="29">
        <f t="shared" si="57"/>
        <v>0.125</v>
      </c>
      <c r="BA118" s="29">
        <f t="shared" si="58"/>
        <v>84.633414988372493</v>
      </c>
      <c r="BC118" s="11"/>
      <c r="BD118" s="11"/>
      <c r="BE118" s="11"/>
      <c r="BH118" s="11"/>
      <c r="BI118" s="11"/>
    </row>
    <row r="119" spans="26:61" x14ac:dyDescent="0.3">
      <c r="Z119" s="44">
        <v>550000</v>
      </c>
      <c r="AA119" s="4" cm="1">
        <f t="array" ref="AA119">_xlfn.IFS(AND($C$64="Yes",$C$78="Yes",$C$92="Yes",$C$50="Yes"),1/((1/AG119)+(1/AL119)+(1/AQ119)+(1/AV119)+(1/BA119)),AND($C$64="Yes",$C$78="Yes",$C$92="Yes",$C$50="No"),1/((1/AG119)+(1/AL119)+(1/AQ119)+(1/AV119)),AND($C$64="Yes",$C$78="Yes",$C$92="No",$C$50="No"),1/((1/AG119)+(1/AL119)+(1/AQ119)),AND($C$64="Yes",$C$78="No",$C$92="No",$C$50="No"),1/((1/AG119)+(1/AL119)),AND($C$64="No",$C$78="No",$C$92="No",$C$50="No"),1/((1/AG119)),AND($C$64="Yes",$C$78="No",$C$92="No",$C$50="Yes"),1/((1/AG119)+(1/AL119)+(1/BA119)), AND($C$64="No",$C$78="No",$C$92="No",$C$50="Yes"),1/((1/AG119)+(1/BA119)), AND($C$64="No",$C$78="Yes",$C$92="No",$C$50="Yes"),1/((1/AG119)+(1/AQ119)+(1/BA119)))</f>
        <v>0.58872072042933876</v>
      </c>
      <c r="AB119" s="28">
        <f t="shared" si="59"/>
        <v>0.79935871743486953</v>
      </c>
      <c r="AD119" s="26">
        <f t="shared" si="40"/>
        <v>5.4805421174895105E-2</v>
      </c>
      <c r="AE119" s="27">
        <f t="shared" si="41"/>
        <v>0.71994831644766089</v>
      </c>
      <c r="AF119" s="28">
        <f t="shared" si="42"/>
        <v>0.25</v>
      </c>
      <c r="AG119" s="29">
        <f t="shared" si="62"/>
        <v>0.71057376192189758</v>
      </c>
      <c r="AH119" s="11"/>
      <c r="AI119" s="26">
        <f t="shared" si="43"/>
        <v>3.6171577975430762</v>
      </c>
      <c r="AJ119" s="27">
        <f t="shared" si="44"/>
        <v>2.5918139392115791E-2</v>
      </c>
      <c r="AK119" s="29">
        <f t="shared" si="45"/>
        <v>0.125</v>
      </c>
      <c r="AL119" s="29">
        <f t="shared" si="46"/>
        <v>3.593414432301989</v>
      </c>
      <c r="AN119" s="26">
        <f t="shared" si="47"/>
        <v>28.93726238034461</v>
      </c>
      <c r="AO119" s="27">
        <f t="shared" si="48"/>
        <v>2.0734511513692637</v>
      </c>
      <c r="AP119" s="29">
        <f t="shared" si="49"/>
        <v>10</v>
      </c>
      <c r="AQ119" s="29" t="e">
        <f t="shared" si="50"/>
        <v>#N/A</v>
      </c>
      <c r="AS119" s="26">
        <f t="shared" si="51"/>
        <v>438.4433693991607</v>
      </c>
      <c r="AT119" s="27">
        <f t="shared" si="52"/>
        <v>1.0367255756846319</v>
      </c>
      <c r="AU119" s="29">
        <f t="shared" si="53"/>
        <v>5</v>
      </c>
      <c r="AV119" s="29" t="e">
        <f t="shared" si="54"/>
        <v>#N/A</v>
      </c>
      <c r="AX119" s="26">
        <f t="shared" si="55"/>
        <v>76.960804203044162</v>
      </c>
      <c r="AY119" s="27">
        <f t="shared" si="56"/>
        <v>2.5918139392115791E-2</v>
      </c>
      <c r="AZ119" s="29">
        <f t="shared" si="57"/>
        <v>0.125</v>
      </c>
      <c r="BA119" s="29">
        <f t="shared" si="58"/>
        <v>76.934987610495668</v>
      </c>
      <c r="BC119" s="11"/>
      <c r="BD119" s="11"/>
      <c r="BE119" s="11"/>
      <c r="BH119" s="11"/>
      <c r="BI119" s="11"/>
    </row>
    <row r="120" spans="26:61" x14ac:dyDescent="0.3">
      <c r="Z120" s="22">
        <v>600000</v>
      </c>
      <c r="AA120" s="4" cm="1">
        <f t="array" ref="AA120">_xlfn.IFS(AND($C$64="Yes",$C$78="Yes",$C$92="Yes",$C$50="Yes"),1/((1/AG120)+(1/AL120)+(1/AQ120)+(1/AV120)+(1/BA120)),AND($C$64="Yes",$C$78="Yes",$C$92="Yes",$C$50="No"),1/((1/AG120)+(1/AL120)+(1/AQ120)+(1/AV120)),AND($C$64="Yes",$C$78="Yes",$C$92="No",$C$50="No"),1/((1/AG120)+(1/AL120)+(1/AQ120)),AND($C$64="Yes",$C$78="No",$C$92="No",$C$50="No"),1/((1/AG120)+(1/AL120)),AND($C$64="No",$C$78="No",$C$92="No",$C$50="No"),1/((1/AG120)),AND($C$64="Yes",$C$78="No",$C$92="No",$C$50="Yes"),1/((1/AG120)+(1/AL120)+(1/BA120)), AND($C$64="No",$C$78="No",$C$92="No",$C$50="Yes"),1/((1/AG120)+(1/BA120)), AND($C$64="No",$C$78="Yes",$C$92="No",$C$50="Yes"),1/((1/AG120)+(1/AQ120)+(1/BA120)))</f>
        <v>0.62267687866760379</v>
      </c>
      <c r="AB120" s="28">
        <f t="shared" si="59"/>
        <v>0.79935871743486953</v>
      </c>
      <c r="AD120" s="26">
        <f t="shared" si="40"/>
        <v>5.0238302743653838E-2</v>
      </c>
      <c r="AE120" s="27">
        <f t="shared" si="41"/>
        <v>0.78539816339744828</v>
      </c>
      <c r="AF120" s="28">
        <f t="shared" si="42"/>
        <v>0.25</v>
      </c>
      <c r="AG120" s="29">
        <f t="shared" si="62"/>
        <v>0.77650500366482278</v>
      </c>
      <c r="AH120" s="11"/>
      <c r="AI120" s="26">
        <f t="shared" si="43"/>
        <v>3.3157279810811531</v>
      </c>
      <c r="AJ120" s="27">
        <f t="shared" si="44"/>
        <v>2.8274333882308138E-2</v>
      </c>
      <c r="AK120" s="29">
        <f t="shared" si="45"/>
        <v>0.125</v>
      </c>
      <c r="AL120" s="29">
        <f t="shared" si="46"/>
        <v>3.2898292482256561</v>
      </c>
      <c r="AN120" s="26">
        <f t="shared" si="47"/>
        <v>26.525823848649225</v>
      </c>
      <c r="AO120" s="27">
        <f t="shared" si="48"/>
        <v>2.2619467105846511</v>
      </c>
      <c r="AP120" s="29">
        <f t="shared" si="49"/>
        <v>10</v>
      </c>
      <c r="AQ120" s="29" t="e">
        <f t="shared" si="50"/>
        <v>#N/A</v>
      </c>
      <c r="AS120" s="26">
        <f t="shared" si="51"/>
        <v>401.90642194923061</v>
      </c>
      <c r="AT120" s="27">
        <f t="shared" si="52"/>
        <v>1.1309733552923256</v>
      </c>
      <c r="AU120" s="29">
        <f t="shared" si="53"/>
        <v>5</v>
      </c>
      <c r="AV120" s="29" t="e">
        <f t="shared" si="54"/>
        <v>#N/A</v>
      </c>
      <c r="AX120" s="26">
        <f t="shared" si="55"/>
        <v>70.547403852790481</v>
      </c>
      <c r="AY120" s="27">
        <f t="shared" si="56"/>
        <v>2.8274333882308138E-2</v>
      </c>
      <c r="AZ120" s="29">
        <f t="shared" si="57"/>
        <v>0.125</v>
      </c>
      <c r="BA120" s="29">
        <f t="shared" si="58"/>
        <v>70.519240304363365</v>
      </c>
      <c r="BC120" s="11"/>
      <c r="BD120" s="11"/>
      <c r="BE120" s="11"/>
      <c r="BH120" s="11"/>
      <c r="BI120" s="11"/>
    </row>
    <row r="121" spans="26:61" x14ac:dyDescent="0.3">
      <c r="Z121" s="44">
        <v>650000</v>
      </c>
      <c r="AA121" s="4" cm="1">
        <f t="array" ref="AA121">_xlfn.IFS(AND($C$64="Yes",$C$78="Yes",$C$92="Yes",$C$50="Yes"),1/((1/AG121)+(1/AL121)+(1/AQ121)+(1/AV121)+(1/BA121)),AND($C$64="Yes",$C$78="Yes",$C$92="Yes",$C$50="No"),1/((1/AG121)+(1/AL121)+(1/AQ121)+(1/AV121)),AND($C$64="Yes",$C$78="Yes",$C$92="No",$C$50="No"),1/((1/AG121)+(1/AL121)+(1/AQ121)),AND($C$64="Yes",$C$78="No",$C$92="No",$C$50="No"),1/((1/AG121)+(1/AL121)),AND($C$64="No",$C$78="No",$C$92="No",$C$50="No"),1/((1/AG121)),AND($C$64="Yes",$C$78="No",$C$92="No",$C$50="Yes"),1/((1/AG121)+(1/AL121)+(1/BA121)), AND($C$64="No",$C$78="No",$C$92="No",$C$50="Yes"),1/((1/AG121)+(1/BA121)), AND($C$64="No",$C$78="Yes",$C$92="No",$C$50="Yes"),1/((1/AG121)+(1/AQ121)+(1/BA121)))</f>
        <v>0.6526726786580348</v>
      </c>
      <c r="AB121" s="28">
        <f t="shared" si="59"/>
        <v>0.79935871743486953</v>
      </c>
      <c r="AD121" s="26">
        <f t="shared" si="40"/>
        <v>4.6373817917218917E-2</v>
      </c>
      <c r="AE121" s="27">
        <f t="shared" si="41"/>
        <v>0.85084801034723567</v>
      </c>
      <c r="AF121" s="28">
        <f t="shared" si="42"/>
        <v>0.25</v>
      </c>
      <c r="AG121" s="29">
        <f t="shared" si="62"/>
        <v>0.84242431487103198</v>
      </c>
      <c r="AH121" s="11"/>
      <c r="AI121" s="26">
        <f t="shared" si="43"/>
        <v>3.0606719825364492</v>
      </c>
      <c r="AJ121" s="27">
        <f t="shared" si="44"/>
        <v>3.0630528372500479E-2</v>
      </c>
      <c r="AK121" s="29">
        <f t="shared" si="45"/>
        <v>0.125</v>
      </c>
      <c r="AL121" s="29">
        <f t="shared" si="46"/>
        <v>3.0326187056654481</v>
      </c>
      <c r="AN121" s="26">
        <f t="shared" si="47"/>
        <v>24.485375860291594</v>
      </c>
      <c r="AO121" s="27">
        <f t="shared" si="48"/>
        <v>2.450442269800039</v>
      </c>
      <c r="AP121" s="29">
        <f t="shared" si="49"/>
        <v>10</v>
      </c>
      <c r="AQ121" s="29" t="e">
        <f t="shared" si="50"/>
        <v>#N/A</v>
      </c>
      <c r="AS121" s="26">
        <f t="shared" si="51"/>
        <v>370.99054333775143</v>
      </c>
      <c r="AT121" s="27">
        <f t="shared" si="52"/>
        <v>1.2252211349000195</v>
      </c>
      <c r="AU121" s="29">
        <f t="shared" si="53"/>
        <v>5</v>
      </c>
      <c r="AV121" s="29" t="e">
        <f t="shared" si="54"/>
        <v>#N/A</v>
      </c>
      <c r="AX121" s="26">
        <f t="shared" si="55"/>
        <v>65.120680479498915</v>
      </c>
      <c r="AY121" s="27">
        <f t="shared" si="56"/>
        <v>3.0630528372500479E-2</v>
      </c>
      <c r="AZ121" s="29">
        <f t="shared" si="57"/>
        <v>0.125</v>
      </c>
      <c r="BA121" s="29">
        <f t="shared" si="58"/>
        <v>65.090169977041327</v>
      </c>
      <c r="BC121" s="11"/>
      <c r="BD121" s="11"/>
      <c r="BE121" s="11"/>
      <c r="BH121" s="11"/>
      <c r="BI121" s="11"/>
    </row>
    <row r="122" spans="26:61" x14ac:dyDescent="0.3">
      <c r="Z122" s="22">
        <v>700000</v>
      </c>
      <c r="AA122" s="4" cm="1">
        <f t="array" ref="AA122">_xlfn.IFS(AND($C$64="Yes",$C$78="Yes",$C$92="Yes",$C$50="Yes"),1/((1/AG122)+(1/AL122)+(1/AQ122)+(1/AV122)+(1/BA122)),AND($C$64="Yes",$C$78="Yes",$C$92="Yes",$C$50="No"),1/((1/AG122)+(1/AL122)+(1/AQ122)+(1/AV122)),AND($C$64="Yes",$C$78="Yes",$C$92="No",$C$50="No"),1/((1/AG122)+(1/AL122)+(1/AQ122)),AND($C$64="Yes",$C$78="No",$C$92="No",$C$50="No"),1/((1/AG122)+(1/AL122)),AND($C$64="No",$C$78="No",$C$92="No",$C$50="No"),1/((1/AG122)),AND($C$64="Yes",$C$78="No",$C$92="No",$C$50="Yes"),1/((1/AG122)+(1/AL122)+(1/BA122)), AND($C$64="No",$C$78="No",$C$92="No",$C$50="Yes"),1/((1/AG122)+(1/BA122)), AND($C$64="No",$C$78="Yes",$C$92="No",$C$50="Yes"),1/((1/AG122)+(1/AQ122)+(1/BA122)))</f>
        <v>0.67883112177346061</v>
      </c>
      <c r="AB122" s="28">
        <f t="shared" si="59"/>
        <v>0.79935871743486953</v>
      </c>
      <c r="AD122" s="26">
        <f t="shared" si="40"/>
        <v>4.3061402351703297E-2</v>
      </c>
      <c r="AE122" s="27">
        <f t="shared" si="41"/>
        <v>0.91629785729702296</v>
      </c>
      <c r="AF122" s="28">
        <f t="shared" si="42"/>
        <v>0.25</v>
      </c>
      <c r="AG122" s="29">
        <f t="shared" si="62"/>
        <v>0.90831817456520669</v>
      </c>
      <c r="AH122" s="11"/>
      <c r="AI122" s="26">
        <f t="shared" si="43"/>
        <v>2.8420525552124172</v>
      </c>
      <c r="AJ122" s="27">
        <f t="shared" si="44"/>
        <v>3.2986722862692823E-2</v>
      </c>
      <c r="AK122" s="29">
        <f t="shared" si="45"/>
        <v>0.125</v>
      </c>
      <c r="AL122" s="29">
        <f t="shared" si="46"/>
        <v>2.8118456306267325</v>
      </c>
      <c r="AN122" s="26">
        <f t="shared" si="47"/>
        <v>22.736420441699337</v>
      </c>
      <c r="AO122" s="27">
        <f t="shared" si="48"/>
        <v>2.638937829015426</v>
      </c>
      <c r="AP122" s="29">
        <f t="shared" si="49"/>
        <v>10</v>
      </c>
      <c r="AQ122" s="29" t="e">
        <f t="shared" si="50"/>
        <v>#N/A</v>
      </c>
      <c r="AS122" s="26">
        <f t="shared" si="51"/>
        <v>344.49121881362629</v>
      </c>
      <c r="AT122" s="27">
        <f t="shared" si="52"/>
        <v>1.319468914507713</v>
      </c>
      <c r="AU122" s="29">
        <f t="shared" si="53"/>
        <v>5</v>
      </c>
      <c r="AV122" s="29" t="e">
        <f t="shared" si="54"/>
        <v>#N/A</v>
      </c>
      <c r="AX122" s="26">
        <f t="shared" si="55"/>
        <v>60.469203302391854</v>
      </c>
      <c r="AY122" s="27">
        <f t="shared" si="56"/>
        <v>3.2986722862692823E-2</v>
      </c>
      <c r="AZ122" s="29">
        <f t="shared" si="57"/>
        <v>0.125</v>
      </c>
      <c r="BA122" s="29">
        <f t="shared" si="58"/>
        <v>60.436345847906416</v>
      </c>
      <c r="BC122" s="11"/>
      <c r="BD122" s="11"/>
      <c r="BE122" s="11"/>
      <c r="BH122" s="11"/>
      <c r="BI122" s="11"/>
    </row>
    <row r="123" spans="26:61" x14ac:dyDescent="0.3">
      <c r="Z123" s="44">
        <v>750000</v>
      </c>
      <c r="AA123" s="4" cm="1">
        <f t="array" ref="AA123">_xlfn.IFS(AND($C$64="Yes",$C$78="Yes",$C$92="Yes",$C$50="Yes"),1/((1/AG123)+(1/AL123)+(1/AQ123)+(1/AV123)+(1/BA123)),AND($C$64="Yes",$C$78="Yes",$C$92="Yes",$C$50="No"),1/((1/AG123)+(1/AL123)+(1/AQ123)+(1/AV123)),AND($C$64="Yes",$C$78="Yes",$C$92="No",$C$50="No"),1/((1/AG123)+(1/AL123)+(1/AQ123)),AND($C$64="Yes",$C$78="No",$C$92="No",$C$50="No"),1/((1/AG123)+(1/AL123)),AND($C$64="No",$C$78="No",$C$92="No",$C$50="No"),1/((1/AG123)),AND($C$64="Yes",$C$78="No",$C$92="No",$C$50="Yes"),1/((1/AG123)+(1/AL123)+(1/BA123)), AND($C$64="No",$C$78="No",$C$92="No",$C$50="Yes"),1/((1/AG123)+(1/BA123)), AND($C$64="No",$C$78="Yes",$C$92="No",$C$50="Yes"),1/((1/AG123)+(1/AQ123)+(1/BA123)))</f>
        <v>0.70132164184102441</v>
      </c>
      <c r="AB123" s="28">
        <f t="shared" si="59"/>
        <v>0.79935871743486953</v>
      </c>
      <c r="AD123" s="26">
        <f t="shared" si="40"/>
        <v>4.0190642194923062E-2</v>
      </c>
      <c r="AE123" s="27">
        <f t="shared" si="41"/>
        <v>0.98174770424681046</v>
      </c>
      <c r="AF123" s="28">
        <f t="shared" si="42"/>
        <v>0.25</v>
      </c>
      <c r="AG123" s="29">
        <f t="shared" si="62"/>
        <v>0.97418155448549815</v>
      </c>
      <c r="AH123" s="11"/>
      <c r="AI123" s="26">
        <f t="shared" si="43"/>
        <v>2.6525823848649224</v>
      </c>
      <c r="AJ123" s="27">
        <f t="shared" si="44"/>
        <v>3.5342917352885174E-2</v>
      </c>
      <c r="AK123" s="29">
        <f t="shared" si="45"/>
        <v>0.125</v>
      </c>
      <c r="AL123" s="29">
        <f t="shared" si="46"/>
        <v>2.6202227825707287</v>
      </c>
      <c r="AN123" s="26">
        <f t="shared" si="47"/>
        <v>21.220659078919379</v>
      </c>
      <c r="AO123" s="27">
        <f t="shared" si="48"/>
        <v>2.8274333882308138</v>
      </c>
      <c r="AP123" s="29">
        <f t="shared" si="49"/>
        <v>10</v>
      </c>
      <c r="AQ123" s="29" t="e">
        <f t="shared" si="50"/>
        <v>#N/A</v>
      </c>
      <c r="AS123" s="26">
        <f t="shared" si="51"/>
        <v>321.52513755938452</v>
      </c>
      <c r="AT123" s="27">
        <f t="shared" si="52"/>
        <v>1.4137166941154069</v>
      </c>
      <c r="AU123" s="29">
        <f t="shared" si="53"/>
        <v>5</v>
      </c>
      <c r="AV123" s="29" t="e">
        <f t="shared" si="54"/>
        <v>#N/A</v>
      </c>
      <c r="AX123" s="26">
        <f t="shared" si="55"/>
        <v>56.437923082232402</v>
      </c>
      <c r="AY123" s="27">
        <f t="shared" si="56"/>
        <v>3.5342917352885174E-2</v>
      </c>
      <c r="AZ123" s="29">
        <f t="shared" si="57"/>
        <v>0.125</v>
      </c>
      <c r="BA123" s="29">
        <f t="shared" si="58"/>
        <v>56.402718677876337</v>
      </c>
      <c r="BC123" s="11"/>
      <c r="BD123" s="11"/>
      <c r="BE123" s="11"/>
      <c r="BH123" s="11"/>
      <c r="BI123" s="11"/>
    </row>
    <row r="124" spans="26:61" x14ac:dyDescent="0.3">
      <c r="Z124" s="22">
        <v>800000</v>
      </c>
      <c r="AA124" s="4" cm="1">
        <f t="array" ref="AA124">_xlfn.IFS(AND($C$64="Yes",$C$78="Yes",$C$92="Yes",$C$50="Yes"),1/((1/AG124)+(1/AL124)+(1/AQ124)+(1/AV124)+(1/BA124)),AND($C$64="Yes",$C$78="Yes",$C$92="Yes",$C$50="No"),1/((1/AG124)+(1/AL124)+(1/AQ124)+(1/AV124)),AND($C$64="Yes",$C$78="Yes",$C$92="No",$C$50="No"),1/((1/AG124)+(1/AL124)+(1/AQ124)),AND($C$64="Yes",$C$78="No",$C$92="No",$C$50="No"),1/((1/AG124)+(1/AL124)),AND($C$64="No",$C$78="No",$C$92="No",$C$50="No"),1/((1/AG124)),AND($C$64="Yes",$C$78="No",$C$92="No",$C$50="Yes"),1/((1/AG124)+(1/AL124)+(1/BA124)), AND($C$64="No",$C$78="No",$C$92="No",$C$50="Yes"),1/((1/AG124)+(1/BA124)), AND($C$64="No",$C$78="Yes",$C$92="No",$C$50="Yes"),1/((1/AG124)+(1/AQ124)+(1/BA124)))</f>
        <v>0.72034581222640148</v>
      </c>
      <c r="AB124" s="28">
        <f t="shared" si="59"/>
        <v>0.79935871743486953</v>
      </c>
      <c r="AD124" s="26">
        <f t="shared" si="40"/>
        <v>3.7678727057740377E-2</v>
      </c>
      <c r="AE124" s="27">
        <f t="shared" si="41"/>
        <v>1.0471975511965976</v>
      </c>
      <c r="AF124" s="28">
        <f t="shared" si="42"/>
        <v>0.25</v>
      </c>
      <c r="AG124" s="29">
        <f t="shared" si="62"/>
        <v>1.040013584666422</v>
      </c>
      <c r="AH124" s="11"/>
      <c r="AI124" s="26">
        <f t="shared" si="43"/>
        <v>2.4867959858108653</v>
      </c>
      <c r="AJ124" s="27">
        <f t="shared" si="44"/>
        <v>3.7699111843077518E-2</v>
      </c>
      <c r="AK124" s="29">
        <f t="shared" si="45"/>
        <v>0.125</v>
      </c>
      <c r="AL124" s="29">
        <f t="shared" si="46"/>
        <v>2.4522847506109056</v>
      </c>
      <c r="AN124" s="26">
        <f t="shared" si="47"/>
        <v>19.894367886486922</v>
      </c>
      <c r="AO124" s="27">
        <f t="shared" si="48"/>
        <v>3.0159289474462012</v>
      </c>
      <c r="AP124" s="29">
        <f t="shared" si="49"/>
        <v>10</v>
      </c>
      <c r="AQ124" s="29" t="e">
        <f t="shared" si="50"/>
        <v>#N/A</v>
      </c>
      <c r="AS124" s="26">
        <f t="shared" si="51"/>
        <v>301.429816461923</v>
      </c>
      <c r="AT124" s="27">
        <f t="shared" si="52"/>
        <v>1.5079644737231006</v>
      </c>
      <c r="AU124" s="29">
        <f t="shared" si="53"/>
        <v>5</v>
      </c>
      <c r="AV124" s="29" t="e">
        <f t="shared" si="54"/>
        <v>#N/A</v>
      </c>
      <c r="AX124" s="26">
        <f t="shared" si="55"/>
        <v>52.910552889592864</v>
      </c>
      <c r="AY124" s="27">
        <f t="shared" si="56"/>
        <v>3.7699111843077518E-2</v>
      </c>
      <c r="AZ124" s="29">
        <f t="shared" si="57"/>
        <v>0.125</v>
      </c>
      <c r="BA124" s="29">
        <f t="shared" si="58"/>
        <v>52.873001537678093</v>
      </c>
      <c r="BC124" s="11"/>
      <c r="BD124" s="11"/>
      <c r="BE124" s="11"/>
      <c r="BH124" s="11"/>
      <c r="BI124" s="11"/>
    </row>
    <row r="125" spans="26:61" x14ac:dyDescent="0.3">
      <c r="Z125" s="44">
        <v>850000</v>
      </c>
      <c r="AA125" s="4" cm="1">
        <f t="array" ref="AA125">_xlfn.IFS(AND($C$64="Yes",$C$78="Yes",$C$92="Yes",$C$50="Yes"),1/((1/AG125)+(1/AL125)+(1/AQ125)+(1/AV125)+(1/BA125)),AND($C$64="Yes",$C$78="Yes",$C$92="Yes",$C$50="No"),1/((1/AG125)+(1/AL125)+(1/AQ125)+(1/AV125)),AND($C$64="Yes",$C$78="Yes",$C$92="No",$C$50="No"),1/((1/AG125)+(1/AL125)+(1/AQ125)),AND($C$64="Yes",$C$78="No",$C$92="No",$C$50="No"),1/((1/AG125)+(1/AL125)),AND($C$64="No",$C$78="No",$C$92="No",$C$50="No"),1/((1/AG125)),AND($C$64="Yes",$C$78="No",$C$92="No",$C$50="Yes"),1/((1/AG125)+(1/AL125)+(1/BA125)), AND($C$64="No",$C$78="No",$C$92="No",$C$50="Yes"),1/((1/AG125)+(1/BA125)), AND($C$64="No",$C$78="Yes",$C$92="No",$C$50="Yes"),1/((1/AG125)+(1/AQ125)+(1/BA125)))</f>
        <v>0.73612611403905026</v>
      </c>
      <c r="AB125" s="28">
        <f t="shared" si="59"/>
        <v>0.79935871743486953</v>
      </c>
      <c r="AD125" s="26">
        <f t="shared" ref="AD125:AD156" si="63">1000/(2*PI()*$Z125*$C$41*$C$37*0.000001)</f>
        <v>3.546233134846153E-2</v>
      </c>
      <c r="AE125" s="27">
        <f t="shared" ref="AE125:AE156" si="64">2*PI()*$Z125*((0.000000001*$C$39)/$C$41)*1000</f>
        <v>1.1126473981463851</v>
      </c>
      <c r="AF125" s="28">
        <f t="shared" ref="AF125:AF156" si="65">($C$38)/$C$41</f>
        <v>0.25</v>
      </c>
      <c r="AG125" s="29">
        <f t="shared" si="62"/>
        <v>1.1058153860986233</v>
      </c>
      <c r="AH125" s="11"/>
      <c r="AI125" s="26">
        <f t="shared" ref="AI125:AI156" si="66">1000/(2*PI()*$Z125*$C$69*$C$65*0.000001)</f>
        <v>2.3405138689984613</v>
      </c>
      <c r="AJ125" s="27">
        <f t="shared" ref="AJ125:AJ156" si="67">2*PI()*$Z125*((0.000000001*$C$67)/$C$69)*1000</f>
        <v>4.0055306333269862E-2</v>
      </c>
      <c r="AK125" s="29">
        <f t="shared" ref="AK125:AK156" si="68">($C$66)/$C$69</f>
        <v>0.125</v>
      </c>
      <c r="AL125" s="29">
        <f t="shared" ref="AL125:AL156" si="69">IF($C$64="Yes", SQRT(AK125^(2)+ABS(AI125-AJ125)^(2)), NA())</f>
        <v>2.3038521216735237</v>
      </c>
      <c r="AN125" s="26">
        <f t="shared" ref="AN125:AN156" si="70">1000/(2*PI()*$Z125*$C$82*$C$79*0.000001)</f>
        <v>18.72411095198769</v>
      </c>
      <c r="AO125" s="27">
        <f t="shared" ref="AO125:AO156" si="71">2*PI()*$Z125*((0.000000001*$C$81)/$C$82)*1000</f>
        <v>3.2044245066615891</v>
      </c>
      <c r="AP125" s="29">
        <f t="shared" ref="AP125:AP156" si="72">($C$80)/$C$82</f>
        <v>10</v>
      </c>
      <c r="AQ125" s="29" t="e">
        <f t="shared" ref="AQ125:AQ156" si="73">IF($C$78="Yes", SQRT(AP125^(2)+ABS(AN125-AO125)^(2)), NA())</f>
        <v>#N/A</v>
      </c>
      <c r="AS125" s="26">
        <f t="shared" ref="AS125:AS156" si="74">1000/(2*PI()*$Z125*$C$97*$C$93*0.000001)</f>
        <v>283.6986507876922</v>
      </c>
      <c r="AT125" s="27">
        <f t="shared" ref="AT125:AT156" si="75">2*PI()*$Z125*((0.000000001*$C$95)/$C$97)*1000</f>
        <v>1.6022122533307945</v>
      </c>
      <c r="AU125" s="29">
        <f t="shared" ref="AU125:AU156" si="76">($C$94)/$C$97</f>
        <v>5</v>
      </c>
      <c r="AV125" s="29" t="e">
        <f t="shared" ref="AV125:AV156" si="77">IF($C$92="Yes", SQRT(AU125^(2)+ABS(AS125-AT125)^(2)), NA())</f>
        <v>#N/A</v>
      </c>
      <c r="AX125" s="26">
        <f t="shared" ref="AX125:AX156" si="78">1000/(2*PI()*$Z125*$C$55*$C$51*0.000001)</f>
        <v>49.798167425499173</v>
      </c>
      <c r="AY125" s="27">
        <f t="shared" ref="AY125:AY156" si="79">2*PI()*$Z125*((0.000000001*$C$53)/$C$55)*1000</f>
        <v>4.0055306333269862E-2</v>
      </c>
      <c r="AZ125" s="29">
        <f t="shared" ref="AZ125:AZ156" si="80">($C$52)/$C$55</f>
        <v>0.125</v>
      </c>
      <c r="BA125" s="29">
        <f t="shared" ref="BA125:BA156" si="81">IF($C$50="Yes", SQRT(AZ125^(2)+ABS(AX125-AY125)^(2)), NA())</f>
        <v>49.758269128492451</v>
      </c>
      <c r="BC125" s="11"/>
      <c r="BD125" s="11"/>
      <c r="BE125" s="11"/>
      <c r="BH125" s="11"/>
      <c r="BI125" s="11"/>
    </row>
    <row r="126" spans="26:61" x14ac:dyDescent="0.3">
      <c r="Z126" s="22">
        <v>900000</v>
      </c>
      <c r="AA126" s="4" cm="1">
        <f t="array" ref="AA126">_xlfn.IFS(AND($C$64="Yes",$C$78="Yes",$C$92="Yes",$C$50="Yes"),1/((1/AG126)+(1/AL126)+(1/AQ126)+(1/AV126)+(1/BA126)),AND($C$64="Yes",$C$78="Yes",$C$92="Yes",$C$50="No"),1/((1/AG126)+(1/AL126)+(1/AQ126)+(1/AV126)),AND($C$64="Yes",$C$78="Yes",$C$92="No",$C$50="No"),1/((1/AG126)+(1/AL126)+(1/AQ126)),AND($C$64="Yes",$C$78="No",$C$92="No",$C$50="No"),1/((1/AG126)+(1/AL126)),AND($C$64="No",$C$78="No",$C$92="No",$C$50="No"),1/((1/AG126)),AND($C$64="Yes",$C$78="No",$C$92="No",$C$50="Yes"),1/((1/AG126)+(1/AL126)+(1/BA126)), AND($C$64="No",$C$78="No",$C$92="No",$C$50="Yes"),1/((1/AG126)+(1/BA126)), AND($C$64="No",$C$78="Yes",$C$92="No",$C$50="Yes"),1/((1/AG126)+(1/AQ126)+(1/BA126)))</f>
        <v>0.74889689491944444</v>
      </c>
      <c r="AB126" s="28">
        <f t="shared" si="59"/>
        <v>0.79935871743486953</v>
      </c>
      <c r="AD126" s="26">
        <f t="shared" si="63"/>
        <v>3.3492201829102557E-2</v>
      </c>
      <c r="AE126" s="27">
        <f t="shared" si="64"/>
        <v>1.1780972450961724</v>
      </c>
      <c r="AF126" s="28">
        <f t="shared" si="65"/>
        <v>0.25</v>
      </c>
      <c r="AG126" s="29">
        <f t="shared" si="62"/>
        <v>1.1715889659229515</v>
      </c>
      <c r="AH126" s="11"/>
      <c r="AI126" s="26">
        <f t="shared" si="66"/>
        <v>2.2104853207207689</v>
      </c>
      <c r="AJ126" s="27">
        <f t="shared" si="67"/>
        <v>4.2411500823462206E-2</v>
      </c>
      <c r="AK126" s="29">
        <f t="shared" si="68"/>
        <v>0.125</v>
      </c>
      <c r="AL126" s="29">
        <f t="shared" si="69"/>
        <v>2.1716742593041203</v>
      </c>
      <c r="AN126" s="26">
        <f t="shared" si="70"/>
        <v>17.683882565766151</v>
      </c>
      <c r="AO126" s="27">
        <f t="shared" si="71"/>
        <v>3.3929200658769765</v>
      </c>
      <c r="AP126" s="29">
        <f t="shared" si="72"/>
        <v>10</v>
      </c>
      <c r="AQ126" s="29" t="e">
        <f t="shared" si="73"/>
        <v>#N/A</v>
      </c>
      <c r="AS126" s="26">
        <f t="shared" si="74"/>
        <v>267.93761463282044</v>
      </c>
      <c r="AT126" s="27">
        <f t="shared" si="75"/>
        <v>1.6964600329384882</v>
      </c>
      <c r="AU126" s="29">
        <f t="shared" si="76"/>
        <v>5</v>
      </c>
      <c r="AV126" s="29" t="e">
        <f t="shared" si="77"/>
        <v>#N/A</v>
      </c>
      <c r="AX126" s="26">
        <f t="shared" si="78"/>
        <v>47.031602568526992</v>
      </c>
      <c r="AY126" s="27">
        <f t="shared" si="79"/>
        <v>4.2411500823462206E-2</v>
      </c>
      <c r="AZ126" s="29">
        <f t="shared" si="80"/>
        <v>0.125</v>
      </c>
      <c r="BA126" s="29">
        <f t="shared" si="81"/>
        <v>46.989357329050044</v>
      </c>
      <c r="BC126" s="11"/>
      <c r="BD126" s="11"/>
      <c r="BE126" s="11"/>
      <c r="BH126" s="11"/>
      <c r="BI126" s="11"/>
    </row>
    <row r="127" spans="26:61" x14ac:dyDescent="0.3">
      <c r="Z127" s="44">
        <v>950000</v>
      </c>
      <c r="AA127" s="4" cm="1">
        <f t="array" ref="AA127">_xlfn.IFS(AND($C$64="Yes",$C$78="Yes",$C$92="Yes",$C$50="Yes"),1/((1/AG127)+(1/AL127)+(1/AQ127)+(1/AV127)+(1/BA127)),AND($C$64="Yes",$C$78="Yes",$C$92="Yes",$C$50="No"),1/((1/AG127)+(1/AL127)+(1/AQ127)+(1/AV127)),AND($C$64="Yes",$C$78="Yes",$C$92="No",$C$50="No"),1/((1/AG127)+(1/AL127)+(1/AQ127)),AND($C$64="Yes",$C$78="No",$C$92="No",$C$50="No"),1/((1/AG127)+(1/AL127)),AND($C$64="No",$C$78="No",$C$92="No",$C$50="No"),1/((1/AG127)),AND($C$64="Yes",$C$78="No",$C$92="No",$C$50="Yes"),1/((1/AG127)+(1/AL127)+(1/BA127)), AND($C$64="No",$C$78="No",$C$92="No",$C$50="Yes"),1/((1/AG127)+(1/BA127)), AND($C$64="No",$C$78="Yes",$C$92="No",$C$50="Yes"),1/((1/AG127)+(1/AQ127)+(1/BA127)))</f>
        <v>0.75889709616139656</v>
      </c>
      <c r="AB127" s="28">
        <f t="shared" si="59"/>
        <v>0.79935871743486953</v>
      </c>
      <c r="AD127" s="26">
        <f t="shared" si="63"/>
        <v>3.1729454364412948E-2</v>
      </c>
      <c r="AE127" s="27">
        <f t="shared" si="64"/>
        <v>1.2435470920459599</v>
      </c>
      <c r="AF127" s="28">
        <f t="shared" si="65"/>
        <v>0.25</v>
      </c>
      <c r="AG127" s="29">
        <f t="shared" si="62"/>
        <v>1.2373366506315431</v>
      </c>
      <c r="AH127" s="11"/>
      <c r="AI127" s="26">
        <f t="shared" si="66"/>
        <v>2.0941439880512545</v>
      </c>
      <c r="AJ127" s="27">
        <f t="shared" si="67"/>
        <v>4.4767695313654557E-2</v>
      </c>
      <c r="AK127" s="29">
        <f t="shared" si="68"/>
        <v>0.125</v>
      </c>
      <c r="AL127" s="29">
        <f t="shared" si="69"/>
        <v>2.0531848891989508</v>
      </c>
      <c r="AN127" s="26">
        <f t="shared" si="70"/>
        <v>16.753151904410036</v>
      </c>
      <c r="AO127" s="27">
        <f t="shared" si="71"/>
        <v>3.5814156250923643</v>
      </c>
      <c r="AP127" s="29">
        <f t="shared" si="72"/>
        <v>10</v>
      </c>
      <c r="AQ127" s="29" t="e">
        <f t="shared" si="73"/>
        <v>#N/A</v>
      </c>
      <c r="AS127" s="26">
        <f t="shared" si="74"/>
        <v>253.83563491530356</v>
      </c>
      <c r="AT127" s="27">
        <f t="shared" si="75"/>
        <v>1.7907078125461822</v>
      </c>
      <c r="AU127" s="29">
        <f t="shared" si="76"/>
        <v>5</v>
      </c>
      <c r="AV127" s="29" t="e">
        <f t="shared" si="77"/>
        <v>#N/A</v>
      </c>
      <c r="AX127" s="26">
        <f t="shared" si="78"/>
        <v>44.556255064920308</v>
      </c>
      <c r="AY127" s="27">
        <f t="shared" si="79"/>
        <v>4.4767695313654557E-2</v>
      </c>
      <c r="AZ127" s="29">
        <f t="shared" si="80"/>
        <v>0.125</v>
      </c>
      <c r="BA127" s="29">
        <f t="shared" si="81"/>
        <v>44.511662885749985</v>
      </c>
      <c r="BC127" s="11"/>
      <c r="BD127" s="11"/>
      <c r="BE127" s="11"/>
      <c r="BH127" s="11"/>
      <c r="BI127" s="11"/>
    </row>
    <row r="128" spans="26:61" x14ac:dyDescent="0.3">
      <c r="Z128" s="22">
        <v>1000000</v>
      </c>
      <c r="AA128" s="4" cm="1">
        <f t="array" ref="AA128">_xlfn.IFS(AND($C$64="Yes",$C$78="Yes",$C$92="Yes",$C$50="Yes"),1/((1/AG128)+(1/AL128)+(1/AQ128)+(1/AV128)+(1/BA128)),AND($C$64="Yes",$C$78="Yes",$C$92="Yes",$C$50="No"),1/((1/AG128)+(1/AL128)+(1/AQ128)+(1/AV128)),AND($C$64="Yes",$C$78="Yes",$C$92="No",$C$50="No"),1/((1/AG128)+(1/AL128)+(1/AQ128)),AND($C$64="Yes",$C$78="No",$C$92="No",$C$50="No"),1/((1/AG128)+(1/AL128)),AND($C$64="No",$C$78="No",$C$92="No",$C$50="No"),1/((1/AG128)),AND($C$64="Yes",$C$78="No",$C$92="No",$C$50="Yes"),1/((1/AG128)+(1/AL128)+(1/BA128)), AND($C$64="No",$C$78="No",$C$92="No",$C$50="Yes"),1/((1/AG128)+(1/BA128)), AND($C$64="No",$C$78="Yes",$C$92="No",$C$50="Yes"),1/((1/AG128)+(1/AQ128)+(1/BA128)))</f>
        <v>0.76636449236993831</v>
      </c>
      <c r="AB128" s="28">
        <f t="shared" si="59"/>
        <v>0.79935871743486953</v>
      </c>
      <c r="AD128" s="26">
        <f t="shared" si="63"/>
        <v>3.0142981646192304E-2</v>
      </c>
      <c r="AE128" s="27">
        <f t="shared" si="64"/>
        <v>1.308996938995747</v>
      </c>
      <c r="AF128" s="28">
        <f t="shared" si="65"/>
        <v>0.25</v>
      </c>
      <c r="AG128" s="29">
        <f t="shared" si="62"/>
        <v>1.3030607983623086</v>
      </c>
      <c r="AH128" s="11"/>
      <c r="AI128" s="26">
        <f t="shared" si="66"/>
        <v>1.9894367886486919</v>
      </c>
      <c r="AJ128" s="27">
        <f t="shared" si="67"/>
        <v>4.7123889803846894E-2</v>
      </c>
      <c r="AK128" s="29">
        <f t="shared" si="68"/>
        <v>0.125</v>
      </c>
      <c r="AL128" s="29">
        <f t="shared" si="69"/>
        <v>1.9463310091089503</v>
      </c>
      <c r="AN128" s="26">
        <f t="shared" si="70"/>
        <v>15.915494309189535</v>
      </c>
      <c r="AO128" s="27">
        <f t="shared" si="71"/>
        <v>3.7699111843077517</v>
      </c>
      <c r="AP128" s="29">
        <f t="shared" si="72"/>
        <v>10</v>
      </c>
      <c r="AQ128" s="29" t="e">
        <f t="shared" si="73"/>
        <v>#N/A</v>
      </c>
      <c r="AS128" s="26">
        <f t="shared" si="74"/>
        <v>241.14385316953843</v>
      </c>
      <c r="AT128" s="27">
        <f t="shared" si="75"/>
        <v>1.8849555921538759</v>
      </c>
      <c r="AU128" s="29">
        <f t="shared" si="76"/>
        <v>5</v>
      </c>
      <c r="AV128" s="29" t="e">
        <f t="shared" si="77"/>
        <v>#N/A</v>
      </c>
      <c r="AX128" s="26">
        <f t="shared" si="78"/>
        <v>42.328442311674294</v>
      </c>
      <c r="AY128" s="27">
        <f t="shared" si="79"/>
        <v>4.7123889803846894E-2</v>
      </c>
      <c r="AZ128" s="29">
        <f t="shared" si="80"/>
        <v>0.125</v>
      </c>
      <c r="BA128" s="29">
        <f t="shared" si="81"/>
        <v>42.281503195742708</v>
      </c>
      <c r="BC128" s="11"/>
      <c r="BD128" s="11"/>
      <c r="BE128" s="11"/>
      <c r="BH128" s="11"/>
      <c r="BI128" s="11"/>
    </row>
    <row r="129" spans="26:61" x14ac:dyDescent="0.3">
      <c r="Z129" s="44">
        <v>1500000</v>
      </c>
      <c r="AA129" s="4" cm="1">
        <f t="array" ref="AA129">_xlfn.IFS(AND($C$64="Yes",$C$78="Yes",$C$92="Yes",$C$50="Yes"),1/((1/AG129)+(1/AL129)+(1/AQ129)+(1/AV129)+(1/BA129)),AND($C$64="Yes",$C$78="Yes",$C$92="Yes",$C$50="No"),1/((1/AG129)+(1/AL129)+(1/AQ129)+(1/AV129)),AND($C$64="Yes",$C$78="Yes",$C$92="No",$C$50="No"),1/((1/AG129)+(1/AL129)+(1/AQ129)),AND($C$64="Yes",$C$78="No",$C$92="No",$C$50="No"),1/((1/AG129)+(1/AL129)),AND($C$64="No",$C$78="No",$C$92="No",$C$50="No"),1/((1/AG129)),AND($C$64="Yes",$C$78="No",$C$92="No",$C$50="Yes"),1/((1/AG129)+(1/AL129)+(1/BA129)), AND($C$64="No",$C$78="No",$C$92="No",$C$50="Yes"),1/((1/AG129)+(1/BA129)), AND($C$64="No",$C$78="Yes",$C$92="No",$C$50="Yes"),1/((1/AG129)+(1/AQ129)+(1/BA129)))</f>
        <v>0.74716444989439368</v>
      </c>
      <c r="AB129" s="28">
        <f t="shared" si="59"/>
        <v>0.79935871743486953</v>
      </c>
      <c r="AD129" s="26">
        <f t="shared" si="63"/>
        <v>2.0095321097461531E-2</v>
      </c>
      <c r="AE129" s="27">
        <f t="shared" si="64"/>
        <v>1.9634954084936209</v>
      </c>
      <c r="AF129" s="28">
        <f t="shared" si="65"/>
        <v>0.25</v>
      </c>
      <c r="AG129" s="29">
        <f t="shared" si="62"/>
        <v>1.9594141725759258</v>
      </c>
      <c r="AH129" s="11"/>
      <c r="AI129" s="26">
        <f t="shared" si="66"/>
        <v>1.3262911924324612</v>
      </c>
      <c r="AJ129" s="27">
        <f t="shared" si="67"/>
        <v>7.0685834705770348E-2</v>
      </c>
      <c r="AK129" s="29">
        <f t="shared" si="68"/>
        <v>0.125</v>
      </c>
      <c r="AL129" s="29">
        <f t="shared" si="69"/>
        <v>1.2618121153135164</v>
      </c>
      <c r="AN129" s="26">
        <f t="shared" si="70"/>
        <v>10.610329539459689</v>
      </c>
      <c r="AO129" s="27">
        <f t="shared" si="71"/>
        <v>5.6548667764616276</v>
      </c>
      <c r="AP129" s="29">
        <f t="shared" si="72"/>
        <v>10</v>
      </c>
      <c r="AQ129" s="29" t="e">
        <f t="shared" si="73"/>
        <v>#N/A</v>
      </c>
      <c r="AS129" s="26">
        <f t="shared" si="74"/>
        <v>160.76256877969226</v>
      </c>
      <c r="AT129" s="27">
        <f t="shared" si="75"/>
        <v>2.8274333882308138</v>
      </c>
      <c r="AU129" s="29">
        <f t="shared" si="76"/>
        <v>5</v>
      </c>
      <c r="AV129" s="29" t="e">
        <f t="shared" si="77"/>
        <v>#N/A</v>
      </c>
      <c r="AX129" s="26">
        <f t="shared" si="78"/>
        <v>28.218961541116201</v>
      </c>
      <c r="AY129" s="27">
        <f t="shared" si="79"/>
        <v>7.0685834705770348E-2</v>
      </c>
      <c r="AZ129" s="29">
        <f t="shared" si="80"/>
        <v>0.125</v>
      </c>
      <c r="BA129" s="29">
        <f t="shared" si="81"/>
        <v>28.148553253126451</v>
      </c>
      <c r="BC129" s="11"/>
      <c r="BD129" s="11"/>
      <c r="BE129" s="11"/>
      <c r="BH129" s="11"/>
      <c r="BI129" s="11"/>
    </row>
    <row r="130" spans="26:61" x14ac:dyDescent="0.3">
      <c r="Z130" s="22">
        <v>2000000</v>
      </c>
      <c r="AA130" s="4" cm="1">
        <f t="array" ref="AA130">_xlfn.IFS(AND($C$64="Yes",$C$78="Yes",$C$92="Yes",$C$50="Yes"),1/((1/AG130)+(1/AL130)+(1/AQ130)+(1/AV130)+(1/BA130)),AND($C$64="Yes",$C$78="Yes",$C$92="Yes",$C$50="No"),1/((1/AG130)+(1/AL130)+(1/AQ130)+(1/AV130)),AND($C$64="Yes",$C$78="Yes",$C$92="No",$C$50="No"),1/((1/AG130)+(1/AL130)+(1/AQ130)),AND($C$64="Yes",$C$78="No",$C$92="No",$C$50="No"),1/((1/AG130)+(1/AL130)),AND($C$64="No",$C$78="No",$C$92="No",$C$50="No"),1/((1/AG130)),AND($C$64="Yes",$C$78="No",$C$92="No",$C$50="Yes"),1/((1/AG130)+(1/AL130)+(1/BA130)), AND($C$64="No",$C$78="No",$C$92="No",$C$50="Yes"),1/((1/AG130)+(1/BA130)), AND($C$64="No",$C$78="Yes",$C$92="No",$C$50="Yes"),1/((1/AG130)+(1/AQ130)+(1/BA130)))</f>
        <v>0.65365182459224136</v>
      </c>
      <c r="AB130" s="28">
        <f t="shared" si="59"/>
        <v>0.79935871743486953</v>
      </c>
      <c r="AD130" s="26">
        <f t="shared" si="63"/>
        <v>1.5071490823096152E-2</v>
      </c>
      <c r="AE130" s="27">
        <f t="shared" si="64"/>
        <v>2.617993877991494</v>
      </c>
      <c r="AF130" s="28">
        <f t="shared" si="65"/>
        <v>0.25</v>
      </c>
      <c r="AG130" s="29">
        <f t="shared" si="62"/>
        <v>2.6149005628555804</v>
      </c>
      <c r="AH130" s="11"/>
      <c r="AI130" s="26">
        <f t="shared" si="66"/>
        <v>0.99471839432434594</v>
      </c>
      <c r="AJ130" s="27">
        <f t="shared" si="67"/>
        <v>9.4247779607693788E-2</v>
      </c>
      <c r="AK130" s="29">
        <f t="shared" si="68"/>
        <v>0.125</v>
      </c>
      <c r="AL130" s="29">
        <f t="shared" si="69"/>
        <v>0.90910523481508199</v>
      </c>
      <c r="AN130" s="26">
        <f t="shared" si="70"/>
        <v>7.9577471545947676</v>
      </c>
      <c r="AO130" s="27">
        <f t="shared" si="71"/>
        <v>7.5398223686155035</v>
      </c>
      <c r="AP130" s="29">
        <f t="shared" si="72"/>
        <v>10</v>
      </c>
      <c r="AQ130" s="29" t="e">
        <f t="shared" si="73"/>
        <v>#N/A</v>
      </c>
      <c r="AS130" s="26">
        <f t="shared" si="74"/>
        <v>120.57192658476922</v>
      </c>
      <c r="AT130" s="27">
        <f t="shared" si="75"/>
        <v>3.7699111843077517</v>
      </c>
      <c r="AU130" s="29">
        <f t="shared" si="76"/>
        <v>5</v>
      </c>
      <c r="AV130" s="29" t="e">
        <f t="shared" si="77"/>
        <v>#N/A</v>
      </c>
      <c r="AX130" s="26">
        <f t="shared" si="78"/>
        <v>21.164221155837147</v>
      </c>
      <c r="AY130" s="27">
        <f t="shared" si="79"/>
        <v>9.4247779607693788E-2</v>
      </c>
      <c r="AZ130" s="29">
        <f t="shared" si="80"/>
        <v>0.125</v>
      </c>
      <c r="BA130" s="29">
        <f t="shared" si="81"/>
        <v>21.070344161285497</v>
      </c>
      <c r="BC130" s="11"/>
      <c r="BD130" s="11"/>
      <c r="BE130" s="11"/>
      <c r="BH130" s="11"/>
      <c r="BI130" s="11"/>
    </row>
    <row r="131" spans="26:61" x14ac:dyDescent="0.3">
      <c r="Z131" s="44">
        <v>2500000</v>
      </c>
      <c r="AA131" s="4" cm="1">
        <f t="array" ref="AA131">_xlfn.IFS(AND($C$64="Yes",$C$78="Yes",$C$92="Yes",$C$50="Yes"),1/((1/AG131)+(1/AL131)+(1/AQ131)+(1/AV131)+(1/BA131)),AND($C$64="Yes",$C$78="Yes",$C$92="Yes",$C$50="No"),1/((1/AG131)+(1/AL131)+(1/AQ131)+(1/AV131)),AND($C$64="Yes",$C$78="Yes",$C$92="No",$C$50="No"),1/((1/AG131)+(1/AL131)+(1/AQ131)),AND($C$64="Yes",$C$78="No",$C$92="No",$C$50="No"),1/((1/AG131)+(1/AL131)),AND($C$64="No",$C$78="No",$C$92="No",$C$50="No"),1/((1/AG131)),AND($C$64="Yes",$C$78="No",$C$92="No",$C$50="Yes"),1/((1/AG131)+(1/AL131)+(1/BA131)), AND($C$64="No",$C$78="No",$C$92="No",$C$50="Yes"),1/((1/AG131)+(1/BA131)), AND($C$64="No",$C$78="Yes",$C$92="No",$C$50="Yes"),1/((1/AG131)+(1/AQ131)+(1/BA131)))</f>
        <v>0.55071015524362799</v>
      </c>
      <c r="AB131" s="28">
        <f t="shared" si="59"/>
        <v>0.79935871743486953</v>
      </c>
      <c r="AD131" s="26">
        <f t="shared" si="63"/>
        <v>1.2057192658476922E-2</v>
      </c>
      <c r="AE131" s="27">
        <f t="shared" si="64"/>
        <v>3.2724923474893681</v>
      </c>
      <c r="AF131" s="28">
        <f t="shared" si="65"/>
        <v>0.25</v>
      </c>
      <c r="AG131" s="29">
        <f t="shared" si="62"/>
        <v>3.2700057184746845</v>
      </c>
      <c r="AH131" s="11"/>
      <c r="AI131" s="26">
        <f t="shared" si="66"/>
        <v>0.79577471545947664</v>
      </c>
      <c r="AJ131" s="27">
        <f t="shared" si="67"/>
        <v>0.11780972450961726</v>
      </c>
      <c r="AK131" s="29">
        <f t="shared" si="68"/>
        <v>0.125</v>
      </c>
      <c r="AL131" s="29">
        <f t="shared" si="69"/>
        <v>0.68939214454013253</v>
      </c>
      <c r="AN131" s="26">
        <f t="shared" si="70"/>
        <v>6.3661977236758132</v>
      </c>
      <c r="AO131" s="27">
        <f t="shared" si="71"/>
        <v>9.4247779607693793</v>
      </c>
      <c r="AP131" s="29">
        <f t="shared" si="72"/>
        <v>10</v>
      </c>
      <c r="AQ131" s="29" t="e">
        <f t="shared" si="73"/>
        <v>#N/A</v>
      </c>
      <c r="AS131" s="26">
        <f t="shared" si="74"/>
        <v>96.457541267815358</v>
      </c>
      <c r="AT131" s="27">
        <f t="shared" si="75"/>
        <v>4.7123889803846897</v>
      </c>
      <c r="AU131" s="29">
        <f t="shared" si="76"/>
        <v>5</v>
      </c>
      <c r="AV131" s="29" t="e">
        <f t="shared" si="77"/>
        <v>#N/A</v>
      </c>
      <c r="AX131" s="26">
        <f t="shared" si="78"/>
        <v>16.931376924669713</v>
      </c>
      <c r="AY131" s="27">
        <f t="shared" si="79"/>
        <v>0.11780972450961726</v>
      </c>
      <c r="AZ131" s="29">
        <f t="shared" si="80"/>
        <v>0.125</v>
      </c>
      <c r="BA131" s="29">
        <f t="shared" si="81"/>
        <v>16.814031848259937</v>
      </c>
      <c r="BC131" s="11"/>
      <c r="BD131" s="11"/>
      <c r="BE131" s="11"/>
      <c r="BH131" s="11"/>
      <c r="BI131" s="11"/>
    </row>
    <row r="132" spans="26:61" x14ac:dyDescent="0.3">
      <c r="Z132" s="22">
        <v>3000000</v>
      </c>
      <c r="AA132" s="4" cm="1">
        <f t="array" ref="AA132">_xlfn.IFS(AND($C$64="Yes",$C$78="Yes",$C$92="Yes",$C$50="Yes"),1/((1/AG132)+(1/AL132)+(1/AQ132)+(1/AV132)+(1/BA132)),AND($C$64="Yes",$C$78="Yes",$C$92="Yes",$C$50="No"),1/((1/AG132)+(1/AL132)+(1/AQ132)+(1/AV132)),AND($C$64="Yes",$C$78="Yes",$C$92="No",$C$50="No"),1/((1/AG132)+(1/AL132)+(1/AQ132)),AND($C$64="Yes",$C$78="No",$C$92="No",$C$50="No"),1/((1/AG132)+(1/AL132)),AND($C$64="No",$C$78="No",$C$92="No",$C$50="No"),1/((1/AG132)),AND($C$64="Yes",$C$78="No",$C$92="No",$C$50="Yes"),1/((1/AG132)+(1/AL132)+(1/BA132)), AND($C$64="No",$C$78="No",$C$92="No",$C$50="Yes"),1/((1/AG132)+(1/BA132)), AND($C$64="No",$C$78="Yes",$C$92="No",$C$50="Yes"),1/((1/AG132)+(1/AQ132)+(1/BA132)))</f>
        <v>0.45658507017707933</v>
      </c>
      <c r="AB132" s="28">
        <f t="shared" si="59"/>
        <v>0.79935871743486953</v>
      </c>
      <c r="AC132" s="11"/>
      <c r="AD132" s="26">
        <f t="shared" si="63"/>
        <v>1.0047660548730766E-2</v>
      </c>
      <c r="AE132" s="27">
        <f t="shared" si="64"/>
        <v>3.9269908169872418</v>
      </c>
      <c r="AF132" s="28">
        <f t="shared" si="65"/>
        <v>0.25</v>
      </c>
      <c r="AG132" s="29">
        <f t="shared" si="62"/>
        <v>3.9249132080557509</v>
      </c>
      <c r="AH132" s="11"/>
      <c r="AI132" s="26">
        <f t="shared" si="66"/>
        <v>0.66314559621623059</v>
      </c>
      <c r="AJ132" s="27">
        <f t="shared" si="67"/>
        <v>0.1413716694115407</v>
      </c>
      <c r="AK132" s="29">
        <f t="shared" si="68"/>
        <v>0.125</v>
      </c>
      <c r="AL132" s="29">
        <f t="shared" si="69"/>
        <v>0.53653800489171866</v>
      </c>
      <c r="AN132" s="26">
        <f t="shared" si="70"/>
        <v>5.3051647697298447</v>
      </c>
      <c r="AO132" s="27">
        <f t="shared" si="71"/>
        <v>11.309733552923255</v>
      </c>
      <c r="AP132" s="29">
        <f t="shared" si="72"/>
        <v>10</v>
      </c>
      <c r="AQ132" s="29" t="e">
        <f t="shared" si="73"/>
        <v>#N/A</v>
      </c>
      <c r="AS132" s="26">
        <f t="shared" si="74"/>
        <v>80.38128438984613</v>
      </c>
      <c r="AT132" s="27">
        <f t="shared" si="75"/>
        <v>5.6548667764616276</v>
      </c>
      <c r="AU132" s="29">
        <f t="shared" si="76"/>
        <v>5</v>
      </c>
      <c r="AV132" s="29" t="e">
        <f t="shared" si="77"/>
        <v>#N/A</v>
      </c>
      <c r="AX132" s="26">
        <f t="shared" si="78"/>
        <v>14.1094807705581</v>
      </c>
      <c r="AY132" s="27">
        <f t="shared" si="79"/>
        <v>0.1413716694115407</v>
      </c>
      <c r="AZ132" s="29">
        <f t="shared" si="80"/>
        <v>0.125</v>
      </c>
      <c r="BA132" s="29">
        <f t="shared" si="81"/>
        <v>13.96866839972706</v>
      </c>
      <c r="BC132" s="11"/>
      <c r="BD132" s="11"/>
      <c r="BE132" s="11"/>
      <c r="BH132" s="11"/>
      <c r="BI132" s="11"/>
    </row>
    <row r="133" spans="26:61" x14ac:dyDescent="0.3">
      <c r="Z133" s="44">
        <v>3500000</v>
      </c>
      <c r="AA133" s="4" cm="1">
        <f t="array" ref="AA133">_xlfn.IFS(AND($C$64="Yes",$C$78="Yes",$C$92="Yes",$C$50="Yes"),1/((1/AG133)+(1/AL133)+(1/AQ133)+(1/AV133)+(1/BA133)),AND($C$64="Yes",$C$78="Yes",$C$92="Yes",$C$50="No"),1/((1/AG133)+(1/AL133)+(1/AQ133)+(1/AV133)),AND($C$64="Yes",$C$78="Yes",$C$92="No",$C$50="No"),1/((1/AG133)+(1/AL133)+(1/AQ133)),AND($C$64="Yes",$C$78="No",$C$92="No",$C$50="No"),1/((1/AG133)+(1/AL133)),AND($C$64="No",$C$78="No",$C$92="No",$C$50="No"),1/((1/AG133)),AND($C$64="Yes",$C$78="No",$C$92="No",$C$50="Yes"),1/((1/AG133)+(1/AL133)+(1/BA133)), AND($C$64="No",$C$78="No",$C$92="No",$C$50="Yes"),1/((1/AG133)+(1/BA133)), AND($C$64="No",$C$78="Yes",$C$92="No",$C$50="Yes"),1/((1/AG133)+(1/AQ133)+(1/BA133)))</f>
        <v>0.37458441955065508</v>
      </c>
      <c r="AB133" s="28">
        <f t="shared" si="59"/>
        <v>0.79935871743486953</v>
      </c>
      <c r="AC133" s="11"/>
      <c r="AD133" s="26">
        <f t="shared" si="63"/>
        <v>8.6122804703406587E-3</v>
      </c>
      <c r="AE133" s="27">
        <f t="shared" si="64"/>
        <v>4.5814892864851151</v>
      </c>
      <c r="AF133" s="28">
        <f t="shared" si="65"/>
        <v>0.25</v>
      </c>
      <c r="AG133" s="29">
        <f t="shared" si="62"/>
        <v>4.5797056796412852</v>
      </c>
      <c r="AH133" s="11"/>
      <c r="AI133" s="26">
        <f t="shared" si="66"/>
        <v>0.56841051104248341</v>
      </c>
      <c r="AJ133" s="27">
        <f t="shared" si="67"/>
        <v>0.16493361431346415</v>
      </c>
      <c r="AK133" s="29">
        <f t="shared" si="68"/>
        <v>0.125</v>
      </c>
      <c r="AL133" s="29">
        <f t="shared" si="69"/>
        <v>0.42239626678520692</v>
      </c>
      <c r="AN133" s="26">
        <f t="shared" si="70"/>
        <v>4.5472840883398673</v>
      </c>
      <c r="AO133" s="27">
        <f t="shared" si="71"/>
        <v>13.194689145077131</v>
      </c>
      <c r="AP133" s="29">
        <f t="shared" si="72"/>
        <v>10</v>
      </c>
      <c r="AQ133" s="29" t="e">
        <f t="shared" si="73"/>
        <v>#N/A</v>
      </c>
      <c r="AS133" s="26">
        <f t="shared" si="74"/>
        <v>68.898243762725258</v>
      </c>
      <c r="AT133" s="27">
        <f t="shared" si="75"/>
        <v>6.5973445725385655</v>
      </c>
      <c r="AU133" s="29">
        <f t="shared" si="76"/>
        <v>5</v>
      </c>
      <c r="AV133" s="29" t="e">
        <f t="shared" si="77"/>
        <v>#N/A</v>
      </c>
      <c r="AX133" s="26">
        <f t="shared" si="78"/>
        <v>12.093840660478369</v>
      </c>
      <c r="AY133" s="27">
        <f t="shared" si="79"/>
        <v>0.16493361431346415</v>
      </c>
      <c r="AZ133" s="29">
        <f t="shared" si="80"/>
        <v>0.125</v>
      </c>
      <c r="BA133" s="29">
        <f t="shared" si="81"/>
        <v>11.929561949880755</v>
      </c>
      <c r="BC133" s="11"/>
      <c r="BD133" s="11"/>
      <c r="BE133" s="11"/>
      <c r="BH133" s="11"/>
      <c r="BI133" s="11"/>
    </row>
    <row r="134" spans="26:61" x14ac:dyDescent="0.3">
      <c r="Z134" s="22">
        <v>4000000</v>
      </c>
      <c r="AA134" s="4" cm="1">
        <f t="array" ref="AA134">_xlfn.IFS(AND($C$64="Yes",$C$78="Yes",$C$92="Yes",$C$50="Yes"),1/((1/AG134)+(1/AL134)+(1/AQ134)+(1/AV134)+(1/BA134)),AND($C$64="Yes",$C$78="Yes",$C$92="Yes",$C$50="No"),1/((1/AG134)+(1/AL134)+(1/AQ134)+(1/AV134)),AND($C$64="Yes",$C$78="Yes",$C$92="No",$C$50="No"),1/((1/AG134)+(1/AL134)+(1/AQ134)),AND($C$64="Yes",$C$78="No",$C$92="No",$C$50="No"),1/((1/AG134)+(1/AL134)),AND($C$64="No",$C$78="No",$C$92="No",$C$50="No"),1/((1/AG134)),AND($C$64="Yes",$C$78="No",$C$92="No",$C$50="Yes"),1/((1/AG134)+(1/AL134)+(1/BA134)), AND($C$64="No",$C$78="No",$C$92="No",$C$50="Yes"),1/((1/AG134)+(1/BA134)), AND($C$64="No",$C$78="Yes",$C$92="No",$C$50="Yes"),1/((1/AG134)+(1/AQ134)+(1/BA134)))</f>
        <v>0.30409407606159372</v>
      </c>
      <c r="AB134" s="28">
        <f t="shared" si="59"/>
        <v>0.79935871743486953</v>
      </c>
      <c r="AC134" s="11"/>
      <c r="AD134" s="26">
        <f t="shared" si="63"/>
        <v>7.5357454115480759E-3</v>
      </c>
      <c r="AE134" s="27">
        <f t="shared" si="64"/>
        <v>5.2359877559829879</v>
      </c>
      <c r="AF134" s="28">
        <f t="shared" si="65"/>
        <v>0.25</v>
      </c>
      <c r="AG134" s="29">
        <f t="shared" si="62"/>
        <v>5.2344255106791353</v>
      </c>
      <c r="AH134" s="11"/>
      <c r="AI134" s="26">
        <f t="shared" si="66"/>
        <v>0.49735919716217297</v>
      </c>
      <c r="AJ134" s="27">
        <f t="shared" si="67"/>
        <v>0.18849555921538758</v>
      </c>
      <c r="AK134" s="29">
        <f t="shared" si="68"/>
        <v>0.125</v>
      </c>
      <c r="AL134" s="29">
        <f t="shared" si="69"/>
        <v>0.33319925997175165</v>
      </c>
      <c r="AN134" s="26">
        <f t="shared" si="70"/>
        <v>3.9788735772973838</v>
      </c>
      <c r="AO134" s="27">
        <f t="shared" si="71"/>
        <v>15.079644737231007</v>
      </c>
      <c r="AP134" s="29">
        <f t="shared" si="72"/>
        <v>10</v>
      </c>
      <c r="AQ134" s="29" t="e">
        <f t="shared" si="73"/>
        <v>#N/A</v>
      </c>
      <c r="AS134" s="26">
        <f t="shared" si="74"/>
        <v>60.285963292384608</v>
      </c>
      <c r="AT134" s="27">
        <f t="shared" si="75"/>
        <v>7.5398223686155035</v>
      </c>
      <c r="AU134" s="29">
        <f t="shared" si="76"/>
        <v>5</v>
      </c>
      <c r="AV134" s="29" t="e">
        <f t="shared" si="77"/>
        <v>#N/A</v>
      </c>
      <c r="AX134" s="26">
        <f t="shared" si="78"/>
        <v>10.582110577918574</v>
      </c>
      <c r="AY134" s="27">
        <f t="shared" si="79"/>
        <v>0.18849555921538758</v>
      </c>
      <c r="AZ134" s="29">
        <f t="shared" si="80"/>
        <v>0.125</v>
      </c>
      <c r="BA134" s="29">
        <f t="shared" si="81"/>
        <v>10.394366654924792</v>
      </c>
      <c r="BC134" s="11"/>
      <c r="BD134" s="11"/>
      <c r="BE134" s="11"/>
      <c r="BH134" s="11"/>
      <c r="BI134" s="11"/>
    </row>
    <row r="135" spans="26:61" x14ac:dyDescent="0.3">
      <c r="Z135" s="44">
        <v>4500000</v>
      </c>
      <c r="AA135" s="4" cm="1">
        <f t="array" ref="AA135">_xlfn.IFS(AND($C$64="Yes",$C$78="Yes",$C$92="Yes",$C$50="Yes"),1/((1/AG135)+(1/AL135)+(1/AQ135)+(1/AV135)+(1/BA135)),AND($C$64="Yes",$C$78="Yes",$C$92="Yes",$C$50="No"),1/((1/AG135)+(1/AL135)+(1/AQ135)+(1/AV135)),AND($C$64="Yes",$C$78="Yes",$C$92="No",$C$50="No"),1/((1/AG135)+(1/AL135)+(1/AQ135)),AND($C$64="Yes",$C$78="No",$C$92="No",$C$50="No"),1/((1/AG135)+(1/AL135)),AND($C$64="No",$C$78="No",$C$92="No",$C$50="No"),1/((1/AG135)),AND($C$64="Yes",$C$78="No",$C$92="No",$C$50="Yes"),1/((1/AG135)+(1/AL135)+(1/BA135)), AND($C$64="No",$C$78="No",$C$92="No",$C$50="Yes"),1/((1/AG135)+(1/BA135)), AND($C$64="No",$C$78="Yes",$C$92="No",$C$50="Yes"),1/((1/AG135)+(1/AQ135)+(1/BA135)))</f>
        <v>0.24401205753212205</v>
      </c>
      <c r="AB135" s="28">
        <f t="shared" si="59"/>
        <v>0.79935871743486953</v>
      </c>
      <c r="AC135" s="11"/>
      <c r="AD135" s="26">
        <f t="shared" si="63"/>
        <v>6.6984403658205127E-3</v>
      </c>
      <c r="AE135" s="27">
        <f t="shared" si="64"/>
        <v>5.8904862254808616</v>
      </c>
      <c r="AF135" s="28">
        <f t="shared" si="65"/>
        <v>0.25</v>
      </c>
      <c r="AG135" s="29">
        <f t="shared" si="62"/>
        <v>5.8890965945778948</v>
      </c>
      <c r="AH135" s="11"/>
      <c r="AI135" s="26">
        <f t="shared" si="66"/>
        <v>0.44209706414415373</v>
      </c>
      <c r="AJ135" s="27">
        <f t="shared" si="67"/>
        <v>0.21205750411731103</v>
      </c>
      <c r="AK135" s="29">
        <f t="shared" si="68"/>
        <v>0.125</v>
      </c>
      <c r="AL135" s="29">
        <f t="shared" si="69"/>
        <v>0.26180756134486138</v>
      </c>
      <c r="AN135" s="26">
        <f t="shared" si="70"/>
        <v>3.5367765131532298</v>
      </c>
      <c r="AO135" s="27">
        <f t="shared" si="71"/>
        <v>16.964600329384879</v>
      </c>
      <c r="AP135" s="29">
        <f t="shared" si="72"/>
        <v>10</v>
      </c>
      <c r="AQ135" s="29" t="e">
        <f t="shared" si="73"/>
        <v>#N/A</v>
      </c>
      <c r="AS135" s="26">
        <f t="shared" si="74"/>
        <v>53.587522926564098</v>
      </c>
      <c r="AT135" s="27">
        <f t="shared" si="75"/>
        <v>8.4823001646924396</v>
      </c>
      <c r="AU135" s="29">
        <f t="shared" si="76"/>
        <v>5</v>
      </c>
      <c r="AV135" s="29" t="e">
        <f t="shared" si="77"/>
        <v>#N/A</v>
      </c>
      <c r="AX135" s="26">
        <f t="shared" si="78"/>
        <v>9.4063205137053991</v>
      </c>
      <c r="AY135" s="27">
        <f t="shared" si="79"/>
        <v>0.21205750411731103</v>
      </c>
      <c r="AZ135" s="29">
        <f t="shared" si="80"/>
        <v>0.125</v>
      </c>
      <c r="BA135" s="29">
        <f t="shared" si="81"/>
        <v>9.1951126849799838</v>
      </c>
      <c r="BC135" s="11"/>
      <c r="BD135" s="11"/>
      <c r="BE135" s="11"/>
      <c r="BH135" s="11"/>
      <c r="BI135" s="11"/>
    </row>
    <row r="136" spans="26:61" x14ac:dyDescent="0.3">
      <c r="Z136" s="22">
        <v>5000000</v>
      </c>
      <c r="AA136" s="4" cm="1">
        <f t="array" ref="AA136">_xlfn.IFS(AND($C$64="Yes",$C$78="Yes",$C$92="Yes",$C$50="Yes"),1/((1/AG136)+(1/AL136)+(1/AQ136)+(1/AV136)+(1/BA136)),AND($C$64="Yes",$C$78="Yes",$C$92="Yes",$C$50="No"),1/((1/AG136)+(1/AL136)+(1/AQ136)+(1/AV136)),AND($C$64="Yes",$C$78="Yes",$C$92="No",$C$50="No"),1/((1/AG136)+(1/AL136)+(1/AQ136)),AND($C$64="Yes",$C$78="No",$C$92="No",$C$50="No"),1/((1/AG136)+(1/AL136)),AND($C$64="No",$C$78="No",$C$92="No",$C$50="No"),1/((1/AG136)),AND($C$64="Yes",$C$78="No",$C$92="No",$C$50="Yes"),1/((1/AG136)+(1/AL136)+(1/BA136)), AND($C$64="No",$C$78="No",$C$92="No",$C$50="Yes"),1/((1/AG136)+(1/BA136)), AND($C$64="No",$C$78="Yes",$C$92="No",$C$50="Yes"),1/((1/AG136)+(1/AQ136)+(1/BA136)))</f>
        <v>0.19393468360775512</v>
      </c>
      <c r="AB136" s="28">
        <f t="shared" si="59"/>
        <v>0.79935871743486953</v>
      </c>
      <c r="AC136" s="11"/>
      <c r="AD136" s="26">
        <f t="shared" si="63"/>
        <v>6.0285963292384609E-3</v>
      </c>
      <c r="AE136" s="27">
        <f t="shared" si="64"/>
        <v>6.5449846949787363</v>
      </c>
      <c r="AF136" s="28">
        <f t="shared" si="65"/>
        <v>0.25</v>
      </c>
      <c r="AG136" s="29">
        <f t="shared" si="62"/>
        <v>6.5437334038043957</v>
      </c>
      <c r="AH136" s="11"/>
      <c r="AI136" s="26">
        <f t="shared" si="66"/>
        <v>0.39788735772973832</v>
      </c>
      <c r="AJ136" s="27">
        <f t="shared" si="67"/>
        <v>0.23561944901923451</v>
      </c>
      <c r="AK136" s="29">
        <f t="shared" si="68"/>
        <v>0.125</v>
      </c>
      <c r="AL136" s="29">
        <f t="shared" si="69"/>
        <v>0.20483133109287846</v>
      </c>
      <c r="AN136" s="26">
        <f t="shared" si="70"/>
        <v>3.1830988618379066</v>
      </c>
      <c r="AO136" s="27">
        <f t="shared" si="71"/>
        <v>18.849555921538759</v>
      </c>
      <c r="AP136" s="29">
        <f t="shared" si="72"/>
        <v>10</v>
      </c>
      <c r="AQ136" s="29" t="e">
        <f t="shared" si="73"/>
        <v>#N/A</v>
      </c>
      <c r="AS136" s="26">
        <f t="shared" si="74"/>
        <v>48.228770633907679</v>
      </c>
      <c r="AT136" s="27">
        <f t="shared" si="75"/>
        <v>9.4247779607693793</v>
      </c>
      <c r="AU136" s="29">
        <f t="shared" si="76"/>
        <v>5</v>
      </c>
      <c r="AV136" s="29" t="e">
        <f t="shared" si="77"/>
        <v>#N/A</v>
      </c>
      <c r="AX136" s="26">
        <f t="shared" si="78"/>
        <v>8.4656884623348567</v>
      </c>
      <c r="AY136" s="27">
        <f t="shared" si="79"/>
        <v>0.23561944901923451</v>
      </c>
      <c r="AZ136" s="29">
        <f t="shared" si="80"/>
        <v>0.125</v>
      </c>
      <c r="BA136" s="29">
        <f t="shared" si="81"/>
        <v>8.2310182215773278</v>
      </c>
      <c r="BC136" s="11"/>
      <c r="BD136" s="11"/>
      <c r="BE136" s="11"/>
      <c r="BH136" s="11"/>
      <c r="BI136" s="11"/>
    </row>
    <row r="137" spans="26:61" x14ac:dyDescent="0.3">
      <c r="Z137" s="44">
        <v>5500000</v>
      </c>
      <c r="AA137" s="4" cm="1">
        <f t="array" ref="AA137">_xlfn.IFS(AND($C$64="Yes",$C$78="Yes",$C$92="Yes",$C$50="Yes"),1/((1/AG137)+(1/AL137)+(1/AQ137)+(1/AV137)+(1/BA137)),AND($C$64="Yes",$C$78="Yes",$C$92="Yes",$C$50="No"),1/((1/AG137)+(1/AL137)+(1/AQ137)+(1/AV137)),AND($C$64="Yes",$C$78="Yes",$C$92="No",$C$50="No"),1/((1/AG137)+(1/AL137)+(1/AQ137)),AND($C$64="Yes",$C$78="No",$C$92="No",$C$50="No"),1/((1/AG137)+(1/AL137)),AND($C$64="No",$C$78="No",$C$92="No",$C$50="No"),1/((1/AG137)),AND($C$64="Yes",$C$78="No",$C$92="No",$C$50="Yes"),1/((1/AG137)+(1/AL137)+(1/BA137)), AND($C$64="No",$C$78="No",$C$92="No",$C$50="Yes"),1/((1/AG137)+(1/BA137)), AND($C$64="No",$C$78="Yes",$C$92="No",$C$50="Yes"),1/((1/AG137)+(1/AQ137)+(1/BA137)))</f>
        <v>0.15483053186561901</v>
      </c>
      <c r="AB137" s="28">
        <f t="shared" si="59"/>
        <v>0.79935871743486953</v>
      </c>
      <c r="AC137" s="11"/>
      <c r="AD137" s="26">
        <f t="shared" si="63"/>
        <v>5.48054211748951E-3</v>
      </c>
      <c r="AE137" s="27">
        <f t="shared" si="64"/>
        <v>7.19948316447661</v>
      </c>
      <c r="AF137" s="28">
        <f t="shared" si="65"/>
        <v>0.25</v>
      </c>
      <c r="AG137" s="29">
        <f t="shared" si="62"/>
        <v>7.1983452077897665</v>
      </c>
      <c r="AH137" s="11"/>
      <c r="AI137" s="26">
        <f t="shared" si="66"/>
        <v>0.36171577975430758</v>
      </c>
      <c r="AJ137" s="27">
        <f t="shared" si="67"/>
        <v>0.25918139392115797</v>
      </c>
      <c r="AK137" s="29">
        <f t="shared" si="68"/>
        <v>0.125</v>
      </c>
      <c r="AL137" s="29">
        <f t="shared" si="69"/>
        <v>0.16167343714469978</v>
      </c>
      <c r="AN137" s="26">
        <f t="shared" si="70"/>
        <v>2.8937262380344606</v>
      </c>
      <c r="AO137" s="27">
        <f t="shared" si="71"/>
        <v>20.734511513692635</v>
      </c>
      <c r="AP137" s="29">
        <f t="shared" si="72"/>
        <v>10</v>
      </c>
      <c r="AQ137" s="29" t="e">
        <f t="shared" si="73"/>
        <v>#N/A</v>
      </c>
      <c r="AS137" s="26">
        <f t="shared" si="74"/>
        <v>43.844336939916076</v>
      </c>
      <c r="AT137" s="27">
        <f t="shared" si="75"/>
        <v>10.367255756846317</v>
      </c>
      <c r="AU137" s="29">
        <f t="shared" si="76"/>
        <v>5</v>
      </c>
      <c r="AV137" s="29" t="e">
        <f t="shared" si="77"/>
        <v>#N/A</v>
      </c>
      <c r="AX137" s="26">
        <f t="shared" si="78"/>
        <v>7.6960804203044173</v>
      </c>
      <c r="AY137" s="27">
        <f t="shared" si="79"/>
        <v>0.25918139392115797</v>
      </c>
      <c r="AZ137" s="29">
        <f t="shared" si="80"/>
        <v>0.125</v>
      </c>
      <c r="BA137" s="29">
        <f t="shared" si="81"/>
        <v>7.4379494572509888</v>
      </c>
      <c r="BC137" s="11"/>
      <c r="BD137" s="11"/>
      <c r="BE137" s="11"/>
      <c r="BH137" s="11"/>
      <c r="BI137" s="11"/>
    </row>
    <row r="138" spans="26:61" x14ac:dyDescent="0.3">
      <c r="Z138" s="22">
        <v>6000000</v>
      </c>
      <c r="AA138" s="4" cm="1">
        <f t="array" ref="AA138">_xlfn.IFS(AND($C$64="Yes",$C$78="Yes",$C$92="Yes",$C$50="Yes"),1/((1/AG138)+(1/AL138)+(1/AQ138)+(1/AV138)+(1/BA138)),AND($C$64="Yes",$C$78="Yes",$C$92="Yes",$C$50="No"),1/((1/AG138)+(1/AL138)+(1/AQ138)+(1/AV138)),AND($C$64="Yes",$C$78="Yes",$C$92="No",$C$50="No"),1/((1/AG138)+(1/AL138)+(1/AQ138)),AND($C$64="Yes",$C$78="No",$C$92="No",$C$50="No"),1/((1/AG138)+(1/AL138)),AND($C$64="No",$C$78="No",$C$92="No",$C$50="No"),1/((1/AG138)),AND($C$64="Yes",$C$78="No",$C$92="No",$C$50="Yes"),1/((1/AG138)+(1/AL138)+(1/BA138)), AND($C$64="No",$C$78="No",$C$92="No",$C$50="Yes"),1/((1/AG138)+(1/BA138)), AND($C$64="No",$C$78="Yes",$C$92="No",$C$50="Yes"),1/((1/AG138)+(1/AQ138)+(1/BA138)))</f>
        <v>0.12942278943233271</v>
      </c>
      <c r="AB138" s="28">
        <f t="shared" si="59"/>
        <v>0.79935871743486953</v>
      </c>
      <c r="AC138" s="11"/>
      <c r="AD138" s="26">
        <f t="shared" si="63"/>
        <v>5.0238302743653828E-3</v>
      </c>
      <c r="AE138" s="27">
        <f t="shared" si="64"/>
        <v>7.8539816339744837</v>
      </c>
      <c r="AF138" s="28">
        <f t="shared" si="65"/>
        <v>0.25</v>
      </c>
      <c r="AG138" s="29">
        <f t="shared" si="62"/>
        <v>7.8529382147235172</v>
      </c>
      <c r="AH138" s="11"/>
      <c r="AI138" s="26">
        <f t="shared" si="66"/>
        <v>0.3315727981081153</v>
      </c>
      <c r="AJ138" s="27">
        <f t="shared" si="67"/>
        <v>0.28274333882308139</v>
      </c>
      <c r="AK138" s="29">
        <f t="shared" si="68"/>
        <v>0.125</v>
      </c>
      <c r="AL138" s="29">
        <f t="shared" si="69"/>
        <v>0.1341987931915514</v>
      </c>
      <c r="AN138" s="26">
        <f t="shared" si="70"/>
        <v>2.6525823848649224</v>
      </c>
      <c r="AO138" s="27">
        <f t="shared" si="71"/>
        <v>22.61946710584651</v>
      </c>
      <c r="AP138" s="29">
        <f t="shared" si="72"/>
        <v>10</v>
      </c>
      <c r="AQ138" s="29" t="e">
        <f t="shared" si="73"/>
        <v>#N/A</v>
      </c>
      <c r="AS138" s="26">
        <f t="shared" si="74"/>
        <v>40.190642194923065</v>
      </c>
      <c r="AT138" s="27">
        <f t="shared" si="75"/>
        <v>11.309733552923255</v>
      </c>
      <c r="AU138" s="29">
        <f t="shared" si="76"/>
        <v>5</v>
      </c>
      <c r="AV138" s="29" t="e">
        <f t="shared" si="77"/>
        <v>#N/A</v>
      </c>
      <c r="AX138" s="26">
        <f t="shared" si="78"/>
        <v>7.0547403852790502</v>
      </c>
      <c r="AY138" s="27">
        <f t="shared" si="79"/>
        <v>0.28274333882308139</v>
      </c>
      <c r="AZ138" s="29">
        <f t="shared" si="80"/>
        <v>0.125</v>
      </c>
      <c r="BA138" s="29">
        <f t="shared" si="81"/>
        <v>6.7731505960821776</v>
      </c>
      <c r="BC138" s="11"/>
      <c r="BD138" s="11"/>
      <c r="BE138" s="11"/>
      <c r="BH138" s="11"/>
      <c r="BI138" s="11"/>
    </row>
    <row r="139" spans="26:61" x14ac:dyDescent="0.3">
      <c r="Z139" s="44">
        <v>6500000</v>
      </c>
      <c r="AA139" s="4" cm="1">
        <f t="array" ref="AA139">_xlfn.IFS(AND($C$64="Yes",$C$78="Yes",$C$92="Yes",$C$50="Yes"),1/((1/AG139)+(1/AL139)+(1/AQ139)+(1/AV139)+(1/BA139)),AND($C$64="Yes",$C$78="Yes",$C$92="Yes",$C$50="No"),1/((1/AG139)+(1/AL139)+(1/AQ139)+(1/AV139)),AND($C$64="Yes",$C$78="Yes",$C$92="No",$C$50="No"),1/((1/AG139)+(1/AL139)+(1/AQ139)),AND($C$64="Yes",$C$78="No",$C$92="No",$C$50="No"),1/((1/AG139)+(1/AL139)),AND($C$64="No",$C$78="No",$C$92="No",$C$50="No"),1/((1/AG139)),AND($C$64="Yes",$C$78="No",$C$92="No",$C$50="Yes"),1/((1/AG139)+(1/AL139)+(1/BA139)), AND($C$64="No",$C$78="No",$C$92="No",$C$50="Yes"),1/((1/AG139)+(1/BA139)), AND($C$64="No",$C$78="Yes",$C$92="No",$C$50="Yes"),1/((1/AG139)+(1/AQ139)+(1/BA139)))</f>
        <v>0.12079283875155303</v>
      </c>
      <c r="AB139" s="28">
        <f t="shared" si="59"/>
        <v>0.79935871743486953</v>
      </c>
      <c r="AC139" s="11"/>
      <c r="AD139" s="26">
        <f t="shared" si="63"/>
        <v>4.6373817917218924E-3</v>
      </c>
      <c r="AE139" s="27">
        <f t="shared" si="64"/>
        <v>8.5084801034723565</v>
      </c>
      <c r="AF139" s="28">
        <f t="shared" si="65"/>
        <v>0.25</v>
      </c>
      <c r="AG139" s="29">
        <f t="shared" si="62"/>
        <v>8.5075167372789036</v>
      </c>
      <c r="AH139" s="11"/>
      <c r="AI139" s="26">
        <f t="shared" si="66"/>
        <v>0.30606719825364487</v>
      </c>
      <c r="AJ139" s="27">
        <f t="shared" si="67"/>
        <v>0.30630528372500487</v>
      </c>
      <c r="AK139" s="29">
        <f t="shared" si="68"/>
        <v>0.125</v>
      </c>
      <c r="AL139" s="29">
        <f t="shared" si="69"/>
        <v>0.12500022673856104</v>
      </c>
      <c r="AN139" s="26">
        <f t="shared" si="70"/>
        <v>2.4485375860291589</v>
      </c>
      <c r="AO139" s="27">
        <f t="shared" si="71"/>
        <v>24.504422698000386</v>
      </c>
      <c r="AP139" s="29">
        <f t="shared" si="72"/>
        <v>10</v>
      </c>
      <c r="AQ139" s="29" t="e">
        <f t="shared" si="73"/>
        <v>#N/A</v>
      </c>
      <c r="AS139" s="26">
        <f t="shared" si="74"/>
        <v>37.099054333775136</v>
      </c>
      <c r="AT139" s="27">
        <f t="shared" si="75"/>
        <v>12.252211349000193</v>
      </c>
      <c r="AU139" s="29">
        <f t="shared" si="76"/>
        <v>5</v>
      </c>
      <c r="AV139" s="29" t="e">
        <f t="shared" si="77"/>
        <v>#N/A</v>
      </c>
      <c r="AX139" s="26">
        <f t="shared" si="78"/>
        <v>6.5120680479498914</v>
      </c>
      <c r="AY139" s="27">
        <f t="shared" si="79"/>
        <v>0.30630528372500487</v>
      </c>
      <c r="AZ139" s="29">
        <f t="shared" si="80"/>
        <v>0.125</v>
      </c>
      <c r="BA139" s="29">
        <f t="shared" si="81"/>
        <v>6.2070215470739347</v>
      </c>
      <c r="BC139" s="11"/>
      <c r="BD139" s="11"/>
      <c r="BE139" s="11"/>
      <c r="BH139" s="11"/>
      <c r="BI139" s="11"/>
    </row>
    <row r="140" spans="26:61" x14ac:dyDescent="0.3">
      <c r="Z140" s="22">
        <v>7000000</v>
      </c>
      <c r="AA140" s="4" cm="1">
        <f t="array" ref="AA140">_xlfn.IFS(AND($C$64="Yes",$C$78="Yes",$C$92="Yes",$C$50="Yes"),1/((1/AG140)+(1/AL140)+(1/AQ140)+(1/AV140)+(1/BA140)),AND($C$64="Yes",$C$78="Yes",$C$92="Yes",$C$50="No"),1/((1/AG140)+(1/AL140)+(1/AQ140)+(1/AV140)),AND($C$64="Yes",$C$78="Yes",$C$92="No",$C$50="No"),1/((1/AG140)+(1/AL140)+(1/AQ140)),AND($C$64="Yes",$C$78="No",$C$92="No",$C$50="No"),1/((1/AG140)+(1/AL140)),AND($C$64="No",$C$78="No",$C$92="No",$C$50="No"),1/((1/AG140)),AND($C$64="Yes",$C$78="No",$C$92="No",$C$50="Yes"),1/((1/AG140)+(1/AL140)+(1/BA140)), AND($C$64="No",$C$78="No",$C$92="No",$C$50="Yes"),1/((1/AG140)+(1/BA140)), AND($C$64="No",$C$78="Yes",$C$92="No",$C$50="Yes"),1/((1/AG140)+(1/AQ140)+(1/BA140)))</f>
        <v>0.12823219659179105</v>
      </c>
      <c r="AB140" s="28">
        <f t="shared" si="59"/>
        <v>0.79935871743486953</v>
      </c>
      <c r="AC140" s="11"/>
      <c r="AD140" s="26">
        <f t="shared" si="63"/>
        <v>4.3061402351703294E-3</v>
      </c>
      <c r="AE140" s="27">
        <f t="shared" si="64"/>
        <v>9.1629785729702302</v>
      </c>
      <c r="AF140" s="28">
        <f t="shared" si="65"/>
        <v>0.25</v>
      </c>
      <c r="AG140" s="29">
        <f t="shared" si="62"/>
        <v>9.1620838639548108</v>
      </c>
      <c r="AH140" s="11"/>
      <c r="AI140" s="26">
        <f t="shared" si="66"/>
        <v>0.28420525552124171</v>
      </c>
      <c r="AJ140" s="27">
        <f t="shared" si="67"/>
        <v>0.3298672286269283</v>
      </c>
      <c r="AK140" s="29">
        <f t="shared" si="68"/>
        <v>0.125</v>
      </c>
      <c r="AL140" s="29">
        <f t="shared" si="69"/>
        <v>0.13307898326897619</v>
      </c>
      <c r="AN140" s="26">
        <f t="shared" si="70"/>
        <v>2.2736420441699337</v>
      </c>
      <c r="AO140" s="27">
        <f t="shared" si="71"/>
        <v>26.389378290154262</v>
      </c>
      <c r="AP140" s="29">
        <f t="shared" si="72"/>
        <v>10</v>
      </c>
      <c r="AQ140" s="29" t="e">
        <f t="shared" si="73"/>
        <v>#N/A</v>
      </c>
      <c r="AS140" s="26">
        <f t="shared" si="74"/>
        <v>34.449121881362629</v>
      </c>
      <c r="AT140" s="27">
        <f t="shared" si="75"/>
        <v>13.194689145077131</v>
      </c>
      <c r="AU140" s="29">
        <f t="shared" si="76"/>
        <v>5</v>
      </c>
      <c r="AV140" s="29" t="e">
        <f t="shared" si="77"/>
        <v>#N/A</v>
      </c>
      <c r="AX140" s="26">
        <f t="shared" si="78"/>
        <v>6.0469203302391845</v>
      </c>
      <c r="AY140" s="27">
        <f t="shared" si="79"/>
        <v>0.3298672286269283</v>
      </c>
      <c r="AZ140" s="29">
        <f t="shared" si="80"/>
        <v>0.125</v>
      </c>
      <c r="BA140" s="29">
        <f t="shared" si="81"/>
        <v>5.7184194640349988</v>
      </c>
      <c r="BC140" s="11"/>
      <c r="BD140" s="11"/>
      <c r="BE140" s="11"/>
      <c r="BH140" s="11"/>
      <c r="BI140" s="11"/>
    </row>
    <row r="141" spans="26:61" x14ac:dyDescent="0.3">
      <c r="Z141" s="44">
        <v>7500000</v>
      </c>
      <c r="AA141" s="4" cm="1">
        <f t="array" ref="AA141">_xlfn.IFS(AND($C$64="Yes",$C$78="Yes",$C$92="Yes",$C$50="Yes"),1/((1/AG141)+(1/AL141)+(1/AQ141)+(1/AV141)+(1/BA141)),AND($C$64="Yes",$C$78="Yes",$C$92="Yes",$C$50="No"),1/((1/AG141)+(1/AL141)+(1/AQ141)+(1/AV141)),AND($C$64="Yes",$C$78="Yes",$C$92="No",$C$50="No"),1/((1/AG141)+(1/AL141)+(1/AQ141)),AND($C$64="Yes",$C$78="No",$C$92="No",$C$50="No"),1/((1/AG141)+(1/AL141)),AND($C$64="No",$C$78="No",$C$92="No",$C$50="No"),1/((1/AG141)),AND($C$64="Yes",$C$78="No",$C$92="No",$C$50="Yes"),1/((1/AG141)+(1/AL141)+(1/BA141)), AND($C$64="No",$C$78="No",$C$92="No",$C$50="Yes"),1/((1/AG141)+(1/BA141)), AND($C$64="No",$C$78="Yes",$C$92="No",$C$50="Yes"),1/((1/AG141)+(1/AQ141)+(1/BA141)))</f>
        <v>0.14645220284252877</v>
      </c>
      <c r="AB141" s="28">
        <f t="shared" si="59"/>
        <v>0.79935871743486953</v>
      </c>
      <c r="AC141" s="11"/>
      <c r="AD141" s="26">
        <f t="shared" si="63"/>
        <v>4.0190642194923073E-3</v>
      </c>
      <c r="AE141" s="27">
        <f t="shared" si="64"/>
        <v>9.8174770424681039</v>
      </c>
      <c r="AF141" s="28">
        <f t="shared" si="65"/>
        <v>0.25</v>
      </c>
      <c r="AG141" s="29">
        <f t="shared" si="62"/>
        <v>9.8166418642451934</v>
      </c>
      <c r="AH141" s="11"/>
      <c r="AI141" s="26">
        <f t="shared" si="66"/>
        <v>0.26525823848649221</v>
      </c>
      <c r="AJ141" s="27">
        <f t="shared" si="67"/>
        <v>0.35342917352885173</v>
      </c>
      <c r="AK141" s="29">
        <f t="shared" si="68"/>
        <v>0.125</v>
      </c>
      <c r="AL141" s="29">
        <f t="shared" si="69"/>
        <v>0.15296768870007801</v>
      </c>
      <c r="AN141" s="26">
        <f t="shared" si="70"/>
        <v>2.1220659078919377</v>
      </c>
      <c r="AO141" s="27">
        <f t="shared" si="71"/>
        <v>28.274333882308138</v>
      </c>
      <c r="AP141" s="29">
        <f t="shared" si="72"/>
        <v>10</v>
      </c>
      <c r="AQ141" s="29" t="e">
        <f t="shared" si="73"/>
        <v>#N/A</v>
      </c>
      <c r="AS141" s="26">
        <f t="shared" si="74"/>
        <v>32.152513755938458</v>
      </c>
      <c r="AT141" s="27">
        <f t="shared" si="75"/>
        <v>14.137166941154069</v>
      </c>
      <c r="AU141" s="29">
        <f t="shared" si="76"/>
        <v>5</v>
      </c>
      <c r="AV141" s="29" t="e">
        <f t="shared" si="77"/>
        <v>#N/A</v>
      </c>
      <c r="AX141" s="26">
        <f t="shared" si="78"/>
        <v>5.6437923082232402</v>
      </c>
      <c r="AY141" s="27">
        <f t="shared" si="79"/>
        <v>0.35342917352885173</v>
      </c>
      <c r="AZ141" s="29">
        <f t="shared" si="80"/>
        <v>0.125</v>
      </c>
      <c r="BA141" s="29">
        <f t="shared" si="81"/>
        <v>5.2918396703730011</v>
      </c>
      <c r="BC141" s="11"/>
      <c r="BD141" s="11"/>
      <c r="BE141" s="11"/>
      <c r="BH141" s="11"/>
      <c r="BI141" s="11"/>
    </row>
    <row r="142" spans="26:61" x14ac:dyDescent="0.3">
      <c r="Z142" s="22">
        <v>8000000</v>
      </c>
      <c r="AA142" s="4" cm="1">
        <f t="array" ref="AA142">_xlfn.IFS(AND($C$64="Yes",$C$78="Yes",$C$92="Yes",$C$50="Yes"),1/((1/AG142)+(1/AL142)+(1/AQ142)+(1/AV142)+(1/BA142)),AND($C$64="Yes",$C$78="Yes",$C$92="Yes",$C$50="No"),1/((1/AG142)+(1/AL142)+(1/AQ142)+(1/AV142)),AND($C$64="Yes",$C$78="Yes",$C$92="No",$C$50="No"),1/((1/AG142)+(1/AL142)+(1/AQ142)),AND($C$64="Yes",$C$78="No",$C$92="No",$C$50="No"),1/((1/AG142)+(1/AL142)),AND($C$64="No",$C$78="No",$C$92="No",$C$50="No"),1/((1/AG142)),AND($C$64="Yes",$C$78="No",$C$92="No",$C$50="Yes"),1/((1/AG142)+(1/AL142)+(1/BA142)), AND($C$64="No",$C$78="No",$C$92="No",$C$50="Yes"),1/((1/AG142)+(1/BA142)), AND($C$64="No",$C$78="Yes",$C$92="No",$C$50="Yes"),1/((1/AG142)+(1/AQ142)+(1/BA142)))</f>
        <v>0.1700287723988245</v>
      </c>
      <c r="AB142" s="28">
        <f t="shared" si="59"/>
        <v>0.79935871743486953</v>
      </c>
      <c r="AC142" s="11"/>
      <c r="AD142" s="26">
        <f t="shared" si="63"/>
        <v>3.767872705774038E-3</v>
      </c>
      <c r="AE142" s="27">
        <f t="shared" si="64"/>
        <v>10.471975511965976</v>
      </c>
      <c r="AF142" s="28">
        <f t="shared" si="65"/>
        <v>0.25</v>
      </c>
      <c r="AG142" s="29">
        <f t="shared" si="62"/>
        <v>10.471192443015536</v>
      </c>
      <c r="AH142" s="11"/>
      <c r="AI142" s="26">
        <f t="shared" si="66"/>
        <v>0.24867959858108649</v>
      </c>
      <c r="AJ142" s="27">
        <f t="shared" si="67"/>
        <v>0.37699111843077515</v>
      </c>
      <c r="AK142" s="29">
        <f t="shared" si="68"/>
        <v>0.125</v>
      </c>
      <c r="AL142" s="29">
        <f t="shared" si="69"/>
        <v>0.17913359854068989</v>
      </c>
      <c r="AN142" s="26">
        <f t="shared" si="70"/>
        <v>1.9894367886486919</v>
      </c>
      <c r="AO142" s="27">
        <f t="shared" si="71"/>
        <v>30.159289474462014</v>
      </c>
      <c r="AP142" s="29">
        <f t="shared" si="72"/>
        <v>10</v>
      </c>
      <c r="AQ142" s="29" t="e">
        <f t="shared" si="73"/>
        <v>#N/A</v>
      </c>
      <c r="AS142" s="26">
        <f t="shared" si="74"/>
        <v>30.142981646192304</v>
      </c>
      <c r="AT142" s="27">
        <f t="shared" si="75"/>
        <v>15.079644737231007</v>
      </c>
      <c r="AU142" s="29">
        <f t="shared" si="76"/>
        <v>5</v>
      </c>
      <c r="AV142" s="29" t="e">
        <f t="shared" si="77"/>
        <v>#N/A</v>
      </c>
      <c r="AX142" s="26">
        <f t="shared" si="78"/>
        <v>5.2910552889592868</v>
      </c>
      <c r="AY142" s="27">
        <f t="shared" si="79"/>
        <v>0.37699111843077515</v>
      </c>
      <c r="AZ142" s="29">
        <f t="shared" si="80"/>
        <v>0.125</v>
      </c>
      <c r="BA142" s="29">
        <f t="shared" si="81"/>
        <v>4.9156537380161422</v>
      </c>
      <c r="BC142" s="11"/>
      <c r="BD142" s="11"/>
      <c r="BE142" s="11"/>
      <c r="BH142" s="11"/>
      <c r="BI142" s="11"/>
    </row>
    <row r="143" spans="26:61" x14ac:dyDescent="0.3">
      <c r="Z143" s="44">
        <v>8500000</v>
      </c>
      <c r="AA143" s="4" cm="1">
        <f t="array" ref="AA143">_xlfn.IFS(AND($C$64="Yes",$C$78="Yes",$C$92="Yes",$C$50="Yes"),1/((1/AG143)+(1/AL143)+(1/AQ143)+(1/AV143)+(1/BA143)),AND($C$64="Yes",$C$78="Yes",$C$92="Yes",$C$50="No"),1/((1/AG143)+(1/AL143)+(1/AQ143)+(1/AV143)),AND($C$64="Yes",$C$78="Yes",$C$92="No",$C$50="No"),1/((1/AG143)+(1/AL143)+(1/AQ143)),AND($C$64="Yes",$C$78="No",$C$92="No",$C$50="No"),1/((1/AG143)+(1/AL143)),AND($C$64="No",$C$78="No",$C$92="No",$C$50="No"),1/((1/AG143)),AND($C$64="Yes",$C$78="No",$C$92="No",$C$50="Yes"),1/((1/AG143)+(1/AL143)+(1/BA143)), AND($C$64="No",$C$78="No",$C$92="No",$C$50="Yes"),1/((1/AG143)+(1/BA143)), AND($C$64="No",$C$78="Yes",$C$92="No",$C$50="Yes"),1/((1/AG143)+(1/AQ143)+(1/BA143)))</f>
        <v>0.19564806018875247</v>
      </c>
      <c r="AB143" s="28">
        <f t="shared" si="59"/>
        <v>0.79935871743486953</v>
      </c>
      <c r="AD143" s="26">
        <f t="shared" si="63"/>
        <v>3.5462331348461527E-3</v>
      </c>
      <c r="AE143" s="27">
        <f t="shared" si="64"/>
        <v>11.126473981463851</v>
      </c>
      <c r="AF143" s="28">
        <f t="shared" si="65"/>
        <v>0.25</v>
      </c>
      <c r="AG143" s="29">
        <f t="shared" si="62"/>
        <v>11.125736905686173</v>
      </c>
      <c r="AH143" s="11"/>
      <c r="AI143" s="26">
        <f t="shared" si="66"/>
        <v>0.23405138689984614</v>
      </c>
      <c r="AJ143" s="27">
        <f t="shared" si="67"/>
        <v>0.40055306333269863</v>
      </c>
      <c r="AK143" s="29">
        <f t="shared" si="68"/>
        <v>0.125</v>
      </c>
      <c r="AL143" s="29">
        <f t="shared" si="69"/>
        <v>0.2082013646808068</v>
      </c>
      <c r="AN143" s="26">
        <f t="shared" si="70"/>
        <v>1.8724110951987691</v>
      </c>
      <c r="AO143" s="27">
        <f t="shared" si="71"/>
        <v>32.044245066615886</v>
      </c>
      <c r="AP143" s="29">
        <f t="shared" si="72"/>
        <v>10</v>
      </c>
      <c r="AQ143" s="29" t="e">
        <f t="shared" si="73"/>
        <v>#N/A</v>
      </c>
      <c r="AS143" s="26">
        <f t="shared" si="74"/>
        <v>28.369865078769219</v>
      </c>
      <c r="AT143" s="27">
        <f t="shared" si="75"/>
        <v>16.022122533307943</v>
      </c>
      <c r="AU143" s="29">
        <f t="shared" si="76"/>
        <v>5</v>
      </c>
      <c r="AV143" s="29" t="e">
        <f t="shared" si="77"/>
        <v>#N/A</v>
      </c>
      <c r="AX143" s="26">
        <f t="shared" si="78"/>
        <v>4.979816742549918</v>
      </c>
      <c r="AY143" s="27">
        <f t="shared" si="79"/>
        <v>0.40055306333269863</v>
      </c>
      <c r="AZ143" s="29">
        <f t="shared" si="80"/>
        <v>0.125</v>
      </c>
      <c r="BA143" s="29">
        <f t="shared" si="81"/>
        <v>4.5809694218361718</v>
      </c>
    </row>
    <row r="144" spans="26:61" x14ac:dyDescent="0.3">
      <c r="Z144" s="22">
        <v>9000000</v>
      </c>
      <c r="AA144" s="4" cm="1">
        <f t="array" ref="AA144">_xlfn.IFS(AND($C$64="Yes",$C$78="Yes",$C$92="Yes",$C$50="Yes"),1/((1/AG144)+(1/AL144)+(1/AQ144)+(1/AV144)+(1/BA144)),AND($C$64="Yes",$C$78="Yes",$C$92="Yes",$C$50="No"),1/((1/AG144)+(1/AL144)+(1/AQ144)+(1/AV144)),AND($C$64="Yes",$C$78="Yes",$C$92="No",$C$50="No"),1/((1/AG144)+(1/AL144)+(1/AQ144)),AND($C$64="Yes",$C$78="No",$C$92="No",$C$50="No"),1/((1/AG144)+(1/AL144)),AND($C$64="No",$C$78="No",$C$92="No",$C$50="No"),1/((1/AG144)),AND($C$64="Yes",$C$78="No",$C$92="No",$C$50="Yes"),1/((1/AG144)+(1/AL144)+(1/BA144)), AND($C$64="No",$C$78="No",$C$92="No",$C$50="Yes"),1/((1/AG144)+(1/BA144)), AND($C$64="No",$C$78="Yes",$C$92="No",$C$50="Yes"),1/((1/AG144)+(1/AQ144)+(1/BA144)))</f>
        <v>0.22162429234700487</v>
      </c>
      <c r="AB144" s="28">
        <f t="shared" si="59"/>
        <v>0.79935871743486953</v>
      </c>
      <c r="AD144" s="26">
        <f t="shared" si="63"/>
        <v>3.3492201829102564E-3</v>
      </c>
      <c r="AE144" s="27">
        <f t="shared" si="64"/>
        <v>11.780972450961723</v>
      </c>
      <c r="AF144" s="28">
        <f t="shared" si="65"/>
        <v>0.25</v>
      </c>
      <c r="AG144" s="29">
        <f t="shared" si="62"/>
        <v>11.780276268669626</v>
      </c>
      <c r="AH144" s="11"/>
      <c r="AI144" s="26">
        <f t="shared" si="66"/>
        <v>0.22104853207207686</v>
      </c>
      <c r="AJ144" s="27">
        <f t="shared" si="67"/>
        <v>0.42411500823462206</v>
      </c>
      <c r="AK144" s="29">
        <f t="shared" si="68"/>
        <v>0.125</v>
      </c>
      <c r="AL144" s="29">
        <f t="shared" si="69"/>
        <v>0.23845543344841932</v>
      </c>
      <c r="AN144" s="26">
        <f t="shared" si="70"/>
        <v>1.7683882565766149</v>
      </c>
      <c r="AO144" s="27">
        <f t="shared" si="71"/>
        <v>33.929200658769759</v>
      </c>
      <c r="AP144" s="29">
        <f t="shared" si="72"/>
        <v>10</v>
      </c>
      <c r="AQ144" s="29" t="e">
        <f t="shared" si="73"/>
        <v>#N/A</v>
      </c>
      <c r="AS144" s="26">
        <f t="shared" si="74"/>
        <v>26.793761463282049</v>
      </c>
      <c r="AT144" s="27">
        <f t="shared" si="75"/>
        <v>16.964600329384879</v>
      </c>
      <c r="AU144" s="29">
        <f t="shared" si="76"/>
        <v>5</v>
      </c>
      <c r="AV144" s="29" t="e">
        <f t="shared" si="77"/>
        <v>#N/A</v>
      </c>
      <c r="AX144" s="26">
        <f t="shared" si="78"/>
        <v>4.7031602568526996</v>
      </c>
      <c r="AY144" s="27">
        <f t="shared" si="79"/>
        <v>0.42411500823462206</v>
      </c>
      <c r="AZ144" s="29">
        <f t="shared" si="80"/>
        <v>0.125</v>
      </c>
      <c r="BA144" s="29">
        <f t="shared" si="81"/>
        <v>4.2808706170265109</v>
      </c>
    </row>
    <row r="145" spans="26:53" x14ac:dyDescent="0.3">
      <c r="Z145" s="44">
        <v>9500000</v>
      </c>
      <c r="AA145" s="4" cm="1">
        <f t="array" ref="AA145">_xlfn.IFS(AND($C$64="Yes",$C$78="Yes",$C$92="Yes",$C$50="Yes"),1/((1/AG145)+(1/AL145)+(1/AQ145)+(1/AV145)+(1/BA145)),AND($C$64="Yes",$C$78="Yes",$C$92="Yes",$C$50="No"),1/((1/AG145)+(1/AL145)+(1/AQ145)+(1/AV145)),AND($C$64="Yes",$C$78="Yes",$C$92="No",$C$50="No"),1/((1/AG145)+(1/AL145)+(1/AQ145)),AND($C$64="Yes",$C$78="No",$C$92="No",$C$50="No"),1/((1/AG145)+(1/AL145)),AND($C$64="No",$C$78="No",$C$92="No",$C$50="No"),1/((1/AG145)),AND($C$64="Yes",$C$78="No",$C$92="No",$C$50="Yes"),1/((1/AG145)+(1/AL145)+(1/BA145)), AND($C$64="No",$C$78="No",$C$92="No",$C$50="Yes"),1/((1/AG145)+(1/BA145)), AND($C$64="No",$C$78="Yes",$C$92="No",$C$50="Yes"),1/((1/AG145)+(1/AQ145)+(1/BA145)))</f>
        <v>0.24713167080037887</v>
      </c>
      <c r="AB145" s="28">
        <f t="shared" si="59"/>
        <v>0.79935871743486953</v>
      </c>
      <c r="AD145" s="26">
        <f t="shared" si="63"/>
        <v>3.1729454364412949E-3</v>
      </c>
      <c r="AE145" s="27">
        <f t="shared" si="64"/>
        <v>12.435470920459599</v>
      </c>
      <c r="AF145" s="28">
        <f t="shared" si="65"/>
        <v>0.25</v>
      </c>
      <c r="AG145" s="29">
        <f t="shared" si="62"/>
        <v>12.434811335109387</v>
      </c>
      <c r="AH145" s="11"/>
      <c r="AI145" s="26">
        <f t="shared" si="66"/>
        <v>0.20941439880512544</v>
      </c>
      <c r="AJ145" s="27">
        <f t="shared" si="67"/>
        <v>0.44767695313654549</v>
      </c>
      <c r="AK145" s="29">
        <f t="shared" si="68"/>
        <v>0.125</v>
      </c>
      <c r="AL145" s="29">
        <f t="shared" si="69"/>
        <v>0.26906141454421312</v>
      </c>
      <c r="AN145" s="26">
        <f t="shared" si="70"/>
        <v>1.6753151904410035</v>
      </c>
      <c r="AO145" s="27">
        <f t="shared" si="71"/>
        <v>35.814156250923645</v>
      </c>
      <c r="AP145" s="29">
        <f t="shared" si="72"/>
        <v>10</v>
      </c>
      <c r="AQ145" s="29" t="e">
        <f t="shared" si="73"/>
        <v>#N/A</v>
      </c>
      <c r="AS145" s="26">
        <f t="shared" si="74"/>
        <v>25.383563491530357</v>
      </c>
      <c r="AT145" s="27">
        <f t="shared" si="75"/>
        <v>17.907078125461823</v>
      </c>
      <c r="AU145" s="29">
        <f t="shared" si="76"/>
        <v>5</v>
      </c>
      <c r="AV145" s="29" t="e">
        <f t="shared" si="77"/>
        <v>#N/A</v>
      </c>
      <c r="AX145" s="26">
        <f t="shared" si="78"/>
        <v>4.4556255064920309</v>
      </c>
      <c r="AY145" s="27">
        <f t="shared" si="79"/>
        <v>0.44767695313654549</v>
      </c>
      <c r="AZ145" s="29">
        <f t="shared" si="80"/>
        <v>0.125</v>
      </c>
      <c r="BA145" s="29">
        <f t="shared" si="81"/>
        <v>4.0098973311475605</v>
      </c>
    </row>
    <row r="146" spans="26:53" x14ac:dyDescent="0.3">
      <c r="Z146" s="22">
        <v>10000000</v>
      </c>
      <c r="AA146" s="4" cm="1">
        <f t="array" ref="AA146">_xlfn.IFS(AND($C$64="Yes",$C$78="Yes",$C$92="Yes",$C$50="Yes"),1/((1/AG146)+(1/AL146)+(1/AQ146)+(1/AV146)+(1/BA146)),AND($C$64="Yes",$C$78="Yes",$C$92="Yes",$C$50="No"),1/((1/AG146)+(1/AL146)+(1/AQ146)+(1/AV146)),AND($C$64="Yes",$C$78="Yes",$C$92="No",$C$50="No"),1/((1/AG146)+(1/AL146)+(1/AQ146)),AND($C$64="Yes",$C$78="No",$C$92="No",$C$50="No"),1/((1/AG146)+(1/AL146)),AND($C$64="No",$C$78="No",$C$92="No",$C$50="No"),1/((1/AG146)),AND($C$64="Yes",$C$78="No",$C$92="No",$C$50="Yes"),1/((1/AG146)+(1/AL146)+(1/BA146)), AND($C$64="No",$C$78="No",$C$92="No",$C$50="Yes"),1/((1/AG146)+(1/BA146)), AND($C$64="No",$C$78="Yes",$C$92="No",$C$50="Yes"),1/((1/AG146)+(1/AQ146)+(1/BA146)))</f>
        <v>0.27176114319240141</v>
      </c>
      <c r="AB146" s="28">
        <f t="shared" si="59"/>
        <v>0.79935871743486953</v>
      </c>
      <c r="AD146" s="26">
        <f t="shared" si="63"/>
        <v>3.0142981646192305E-3</v>
      </c>
      <c r="AE146" s="27">
        <f t="shared" si="64"/>
        <v>13.089969389957473</v>
      </c>
      <c r="AF146" s="28">
        <f t="shared" si="65"/>
        <v>0.25</v>
      </c>
      <c r="AG146" s="29">
        <f t="shared" si="62"/>
        <v>13.089342747999339</v>
      </c>
      <c r="AH146" s="11"/>
      <c r="AI146" s="26">
        <f t="shared" si="66"/>
        <v>0.19894367886486916</v>
      </c>
      <c r="AJ146" s="27">
        <f t="shared" si="67"/>
        <v>0.47123889803846902</v>
      </c>
      <c r="AK146" s="29">
        <f t="shared" si="68"/>
        <v>0.125</v>
      </c>
      <c r="AL146" s="29">
        <f t="shared" si="69"/>
        <v>0.29961589808419514</v>
      </c>
      <c r="AN146" s="26">
        <f t="shared" si="70"/>
        <v>1.5915494309189533</v>
      </c>
      <c r="AO146" s="27">
        <f t="shared" si="71"/>
        <v>37.699111843077517</v>
      </c>
      <c r="AP146" s="29">
        <f t="shared" si="72"/>
        <v>10</v>
      </c>
      <c r="AQ146" s="29" t="e">
        <f t="shared" si="73"/>
        <v>#N/A</v>
      </c>
      <c r="AS146" s="26">
        <f t="shared" si="74"/>
        <v>24.11438531695384</v>
      </c>
      <c r="AT146" s="27">
        <f t="shared" si="75"/>
        <v>18.849555921538759</v>
      </c>
      <c r="AU146" s="29">
        <f t="shared" si="76"/>
        <v>5</v>
      </c>
      <c r="AV146" s="29" t="e">
        <f t="shared" si="77"/>
        <v>#N/A</v>
      </c>
      <c r="AX146" s="26">
        <f t="shared" si="78"/>
        <v>4.2328442311674284</v>
      </c>
      <c r="AY146" s="27">
        <f t="shared" si="79"/>
        <v>0.47123889803846902</v>
      </c>
      <c r="AZ146" s="29">
        <f t="shared" si="80"/>
        <v>0.125</v>
      </c>
      <c r="BA146" s="29">
        <f t="shared" si="81"/>
        <v>3.7636816658989947</v>
      </c>
    </row>
    <row r="147" spans="26:53" x14ac:dyDescent="0.3">
      <c r="Z147" s="44">
        <v>15000000</v>
      </c>
      <c r="AA147" s="4" cm="1">
        <f t="array" ref="AA147">_xlfn.IFS(AND($C$64="Yes",$C$78="Yes",$C$92="Yes",$C$50="Yes"),1/((1/AG147)+(1/AL147)+(1/AQ147)+(1/AV147)+(1/BA147)),AND($C$64="Yes",$C$78="Yes",$C$92="Yes",$C$50="No"),1/((1/AG147)+(1/AL147)+(1/AQ147)+(1/AV147)),AND($C$64="Yes",$C$78="Yes",$C$92="No",$C$50="No"),1/((1/AG147)+(1/AL147)+(1/AQ147)),AND($C$64="Yes",$C$78="No",$C$92="No",$C$50="No"),1/((1/AG147)+(1/AL147)),AND($C$64="No",$C$78="No",$C$92="No",$C$50="No"),1/((1/AG147)),AND($C$64="Yes",$C$78="No",$C$92="No",$C$50="Yes"),1/((1/AG147)+(1/AL147)+(1/BA147)), AND($C$64="No",$C$78="No",$C$92="No",$C$50="Yes"),1/((1/AG147)+(1/BA147)), AND($C$64="No",$C$78="Yes",$C$92="No",$C$50="Yes"),1/((1/AG147)+(1/AQ147)+(1/BA147)))</f>
        <v>0.44953376385772198</v>
      </c>
      <c r="AB147" s="28">
        <f t="shared" si="59"/>
        <v>0.79935871743486953</v>
      </c>
      <c r="AD147" s="26">
        <f t="shared" si="63"/>
        <v>2.0095321097461536E-3</v>
      </c>
      <c r="AE147" s="27">
        <f t="shared" si="64"/>
        <v>19.634954084936208</v>
      </c>
      <c r="AF147" s="28">
        <f t="shared" si="65"/>
        <v>0.25</v>
      </c>
      <c r="AG147" s="29">
        <f t="shared" si="62"/>
        <v>19.634536200642945</v>
      </c>
      <c r="AH147" s="11"/>
      <c r="AI147" s="26">
        <f t="shared" si="66"/>
        <v>0.13262911924324611</v>
      </c>
      <c r="AJ147" s="27">
        <f t="shared" si="67"/>
        <v>0.70685834705770345</v>
      </c>
      <c r="AK147" s="29">
        <f t="shared" si="68"/>
        <v>0.125</v>
      </c>
      <c r="AL147" s="29">
        <f t="shared" si="69"/>
        <v>0.58767695724469915</v>
      </c>
      <c r="AN147" s="26">
        <f t="shared" si="70"/>
        <v>1.0610329539459689</v>
      </c>
      <c r="AO147" s="27">
        <f t="shared" si="71"/>
        <v>56.548667764616276</v>
      </c>
      <c r="AP147" s="29">
        <f t="shared" si="72"/>
        <v>10</v>
      </c>
      <c r="AQ147" s="29" t="e">
        <f t="shared" si="73"/>
        <v>#N/A</v>
      </c>
      <c r="AS147" s="26">
        <f t="shared" si="74"/>
        <v>16.076256877969229</v>
      </c>
      <c r="AT147" s="27">
        <f t="shared" si="75"/>
        <v>28.274333882308138</v>
      </c>
      <c r="AU147" s="29">
        <f t="shared" si="76"/>
        <v>5</v>
      </c>
      <c r="AV147" s="29" t="e">
        <f t="shared" si="77"/>
        <v>#N/A</v>
      </c>
      <c r="AX147" s="26">
        <f t="shared" si="78"/>
        <v>2.8218961541116201</v>
      </c>
      <c r="AY147" s="27">
        <f t="shared" si="79"/>
        <v>0.70685834705770345</v>
      </c>
      <c r="AZ147" s="29">
        <f t="shared" si="80"/>
        <v>0.125</v>
      </c>
      <c r="BA147" s="29">
        <f t="shared" si="81"/>
        <v>2.1187283745840193</v>
      </c>
    </row>
    <row r="148" spans="26:53" x14ac:dyDescent="0.3">
      <c r="Z148" s="22">
        <v>20000000</v>
      </c>
      <c r="AA148" s="4" cm="1">
        <f t="array" ref="AA148">_xlfn.IFS(AND($C$64="Yes",$C$78="Yes",$C$92="Yes",$C$50="Yes"),1/((1/AG148)+(1/AL148)+(1/AQ148)+(1/AV148)+(1/BA148)),AND($C$64="Yes",$C$78="Yes",$C$92="Yes",$C$50="No"),1/((1/AG148)+(1/AL148)+(1/AQ148)+(1/AV148)),AND($C$64="Yes",$C$78="Yes",$C$92="No",$C$50="No"),1/((1/AG148)+(1/AL148)+(1/AQ148)),AND($C$64="Yes",$C$78="No",$C$92="No",$C$50="No"),1/((1/AG148)+(1/AL148)),AND($C$64="No",$C$78="No",$C$92="No",$C$50="No"),1/((1/AG148)),AND($C$64="Yes",$C$78="No",$C$92="No",$C$50="Yes"),1/((1/AG148)+(1/AL148)+(1/BA148)), AND($C$64="No",$C$78="No",$C$92="No",$C$50="Yes"),1/((1/AG148)+(1/BA148)), AND($C$64="No",$C$78="Yes",$C$92="No",$C$50="Yes"),1/((1/AG148)+(1/AQ148)+(1/BA148)))</f>
        <v>0.4857574974276434</v>
      </c>
      <c r="AB148" s="28">
        <f t="shared" si="59"/>
        <v>0.79935871743486953</v>
      </c>
      <c r="AD148" s="26">
        <f t="shared" si="63"/>
        <v>1.5071490823096152E-3</v>
      </c>
      <c r="AE148" s="27">
        <f t="shared" si="64"/>
        <v>26.179938779914945</v>
      </c>
      <c r="AF148" s="28">
        <f t="shared" si="65"/>
        <v>0.25</v>
      </c>
      <c r="AG148" s="29">
        <f t="shared" si="62"/>
        <v>26.179625334411845</v>
      </c>
      <c r="AH148" s="11"/>
      <c r="AI148" s="26">
        <f t="shared" si="66"/>
        <v>9.9471839432434581E-2</v>
      </c>
      <c r="AJ148" s="27">
        <f t="shared" si="67"/>
        <v>0.94247779607693805</v>
      </c>
      <c r="AK148" s="29">
        <f t="shared" si="68"/>
        <v>0.125</v>
      </c>
      <c r="AL148" s="29">
        <f t="shared" si="69"/>
        <v>0.85222300070938861</v>
      </c>
      <c r="AN148" s="26">
        <f t="shared" si="70"/>
        <v>0.79577471545947664</v>
      </c>
      <c r="AO148" s="27">
        <f t="shared" si="71"/>
        <v>75.398223686155035</v>
      </c>
      <c r="AP148" s="29">
        <f t="shared" si="72"/>
        <v>10</v>
      </c>
      <c r="AQ148" s="29" t="e">
        <f t="shared" si="73"/>
        <v>#N/A</v>
      </c>
      <c r="AS148" s="26">
        <f t="shared" si="74"/>
        <v>12.05719265847692</v>
      </c>
      <c r="AT148" s="27">
        <f t="shared" si="75"/>
        <v>37.699111843077517</v>
      </c>
      <c r="AU148" s="29">
        <f t="shared" si="76"/>
        <v>5</v>
      </c>
      <c r="AV148" s="29" t="e">
        <f t="shared" si="77"/>
        <v>#N/A</v>
      </c>
      <c r="AX148" s="26">
        <f t="shared" si="78"/>
        <v>2.1164221155837142</v>
      </c>
      <c r="AY148" s="27">
        <f t="shared" si="79"/>
        <v>0.94247779607693805</v>
      </c>
      <c r="AZ148" s="29">
        <f t="shared" si="80"/>
        <v>0.125</v>
      </c>
      <c r="BA148" s="29">
        <f t="shared" si="81"/>
        <v>1.1805804781133</v>
      </c>
    </row>
    <row r="149" spans="26:53" x14ac:dyDescent="0.3">
      <c r="Z149" s="44">
        <v>25000000</v>
      </c>
      <c r="AA149" s="4" cm="1">
        <f t="array" ref="AA149">_xlfn.IFS(AND($C$64="Yes",$C$78="Yes",$C$92="Yes",$C$50="Yes"),1/((1/AG149)+(1/AL149)+(1/AQ149)+(1/AV149)+(1/BA149)),AND($C$64="Yes",$C$78="Yes",$C$92="Yes",$C$50="No"),1/((1/AG149)+(1/AL149)+(1/AQ149)+(1/AV149)),AND($C$64="Yes",$C$78="Yes",$C$92="No",$C$50="No"),1/((1/AG149)+(1/AL149)+(1/AQ149)),AND($C$64="Yes",$C$78="No",$C$92="No",$C$50="No"),1/((1/AG149)+(1/AL149)),AND($C$64="No",$C$78="No",$C$92="No",$C$50="No"),1/((1/AG149)),AND($C$64="Yes",$C$78="No",$C$92="No",$C$50="Yes"),1/((1/AG149)+(1/AL149)+(1/BA149)), AND($C$64="No",$C$78="No",$C$92="No",$C$50="Yes"),1/((1/AG149)+(1/BA149)), AND($C$64="No",$C$78="Yes",$C$92="No",$C$50="Yes"),1/((1/AG149)+(1/AQ149)+(1/BA149)))</f>
        <v>0.35437650085106559</v>
      </c>
      <c r="AB149" s="28">
        <f t="shared" si="59"/>
        <v>0.79935871743486953</v>
      </c>
      <c r="AD149" s="26">
        <f t="shared" si="63"/>
        <v>1.205719265847692E-3</v>
      </c>
      <c r="AE149" s="27">
        <f t="shared" si="64"/>
        <v>32.724923474893679</v>
      </c>
      <c r="AF149" s="28">
        <f t="shared" si="65"/>
        <v>0.25</v>
      </c>
      <c r="AG149" s="29">
        <f t="shared" si="62"/>
        <v>32.724672706537376</v>
      </c>
      <c r="AH149" s="11"/>
      <c r="AI149" s="26">
        <f t="shared" si="66"/>
        <v>7.9577471545947687E-2</v>
      </c>
      <c r="AJ149" s="27">
        <f t="shared" si="67"/>
        <v>1.1780972450961722</v>
      </c>
      <c r="AK149" s="29">
        <f t="shared" si="68"/>
        <v>0.125</v>
      </c>
      <c r="AL149" s="29">
        <f t="shared" si="69"/>
        <v>1.1056087431278918</v>
      </c>
      <c r="AN149" s="26">
        <f t="shared" si="70"/>
        <v>0.63661977236758149</v>
      </c>
      <c r="AO149" s="27">
        <f t="shared" si="71"/>
        <v>94.247779607693786</v>
      </c>
      <c r="AP149" s="29">
        <f t="shared" si="72"/>
        <v>10</v>
      </c>
      <c r="AQ149" s="29" t="e">
        <f t="shared" si="73"/>
        <v>#N/A</v>
      </c>
      <c r="AS149" s="26">
        <f t="shared" si="74"/>
        <v>9.6457541267815365</v>
      </c>
      <c r="AT149" s="27">
        <f t="shared" si="75"/>
        <v>47.123889803846893</v>
      </c>
      <c r="AU149" s="29">
        <f t="shared" si="76"/>
        <v>5</v>
      </c>
      <c r="AV149" s="29" t="e">
        <f t="shared" si="77"/>
        <v>#N/A</v>
      </c>
      <c r="AX149" s="26">
        <f t="shared" si="78"/>
        <v>1.6931376924669719</v>
      </c>
      <c r="AY149" s="27">
        <f t="shared" si="79"/>
        <v>1.1780972450961722</v>
      </c>
      <c r="AZ149" s="29">
        <f t="shared" si="80"/>
        <v>0.125</v>
      </c>
      <c r="BA149" s="29">
        <f t="shared" si="81"/>
        <v>0.52999213430758896</v>
      </c>
    </row>
    <row r="150" spans="26:53" x14ac:dyDescent="0.3">
      <c r="Z150" s="22">
        <v>30000000</v>
      </c>
      <c r="AA150" s="4" cm="1">
        <f t="array" ref="AA150">_xlfn.IFS(AND($C$64="Yes",$C$78="Yes",$C$92="Yes",$C$50="Yes"),1/((1/AG150)+(1/AL150)+(1/AQ150)+(1/AV150)+(1/BA150)),AND($C$64="Yes",$C$78="Yes",$C$92="Yes",$C$50="No"),1/((1/AG150)+(1/AL150)+(1/AQ150)+(1/AV150)),AND($C$64="Yes",$C$78="Yes",$C$92="No",$C$50="No"),1/((1/AG150)+(1/AL150)+(1/AQ150)),AND($C$64="Yes",$C$78="No",$C$92="No",$C$50="No"),1/((1/AG150)+(1/AL150)),AND($C$64="No",$C$78="No",$C$92="No",$C$50="No"),1/((1/AG150)),AND($C$64="Yes",$C$78="No",$C$92="No",$C$50="Yes"),1/((1/AG150)+(1/AL150)+(1/BA150)), AND($C$64="No",$C$78="No",$C$92="No",$C$50="Yes"),1/((1/AG150)+(1/BA150)), AND($C$64="No",$C$78="Yes",$C$92="No",$C$50="Yes"),1/((1/AG150)+(1/AQ150)+(1/BA150)))</f>
        <v>0.11412269473057715</v>
      </c>
      <c r="AB150" s="28">
        <f t="shared" si="59"/>
        <v>0.79935871743486953</v>
      </c>
      <c r="AD150" s="26">
        <f t="shared" si="63"/>
        <v>1.0047660548730768E-3</v>
      </c>
      <c r="AE150" s="27">
        <f t="shared" si="64"/>
        <v>39.269908169872416</v>
      </c>
      <c r="AF150" s="28">
        <f t="shared" si="65"/>
        <v>0.25</v>
      </c>
      <c r="AG150" s="29">
        <f t="shared" si="62"/>
        <v>39.269699190830998</v>
      </c>
      <c r="AH150" s="11"/>
      <c r="AI150" s="26">
        <f t="shared" si="66"/>
        <v>6.6314559621623054E-2</v>
      </c>
      <c r="AJ150" s="27">
        <f t="shared" si="67"/>
        <v>1.4137166941154069</v>
      </c>
      <c r="AK150" s="29">
        <f t="shared" si="68"/>
        <v>0.125</v>
      </c>
      <c r="AL150" s="29">
        <f t="shared" si="69"/>
        <v>1.3531879071431303</v>
      </c>
      <c r="AN150" s="26">
        <f t="shared" si="70"/>
        <v>0.53051647697298443</v>
      </c>
      <c r="AO150" s="27">
        <f t="shared" si="71"/>
        <v>113.09733552923255</v>
      </c>
      <c r="AP150" s="29">
        <f t="shared" si="72"/>
        <v>10</v>
      </c>
      <c r="AQ150" s="29" t="e">
        <f t="shared" si="73"/>
        <v>#N/A</v>
      </c>
      <c r="AS150" s="26">
        <f t="shared" si="74"/>
        <v>8.0381284389846144</v>
      </c>
      <c r="AT150" s="27">
        <f t="shared" si="75"/>
        <v>56.548667764616276</v>
      </c>
      <c r="AU150" s="29">
        <f t="shared" si="76"/>
        <v>5</v>
      </c>
      <c r="AV150" s="29" t="e">
        <f t="shared" si="77"/>
        <v>#N/A</v>
      </c>
      <c r="AX150" s="26">
        <f t="shared" si="78"/>
        <v>1.41094807705581</v>
      </c>
      <c r="AY150" s="27">
        <f t="shared" si="79"/>
        <v>1.4137166941154069</v>
      </c>
      <c r="AZ150" s="29">
        <f t="shared" si="80"/>
        <v>0.125</v>
      </c>
      <c r="BA150" s="29">
        <f t="shared" si="81"/>
        <v>0.12503065720223455</v>
      </c>
    </row>
    <row r="151" spans="26:53" x14ac:dyDescent="0.3">
      <c r="Z151" s="44">
        <v>35000000</v>
      </c>
      <c r="AA151" s="4" cm="1">
        <f t="array" ref="AA151">_xlfn.IFS(AND($C$64="Yes",$C$78="Yes",$C$92="Yes",$C$50="Yes"),1/((1/AG151)+(1/AL151)+(1/AQ151)+(1/AV151)+(1/BA151)),AND($C$64="Yes",$C$78="Yes",$C$92="Yes",$C$50="No"),1/((1/AG151)+(1/AL151)+(1/AQ151)+(1/AV151)),AND($C$64="Yes",$C$78="Yes",$C$92="No",$C$50="No"),1/((1/AG151)+(1/AL151)+(1/AQ151)),AND($C$64="Yes",$C$78="No",$C$92="No",$C$50="No"),1/((1/AG151)+(1/AL151)),AND($C$64="No",$C$78="No",$C$92="No",$C$50="No"),1/((1/AG151)),AND($C$64="Yes",$C$78="No",$C$92="No",$C$50="Yes"),1/((1/AG151)+(1/AL151)+(1/BA151)), AND($C$64="No",$C$78="No",$C$92="No",$C$50="Yes"),1/((1/AG151)+(1/BA151)), AND($C$64="No",$C$78="Yes",$C$92="No",$C$50="Yes"),1/((1/AG151)+(1/AQ151)+(1/BA151)))</f>
        <v>0.35282279475650319</v>
      </c>
      <c r="AB151" s="28">
        <f t="shared" si="59"/>
        <v>0.79935871743486953</v>
      </c>
      <c r="AD151" s="26">
        <f t="shared" si="63"/>
        <v>8.6122804703406568E-4</v>
      </c>
      <c r="AE151" s="27">
        <f t="shared" si="64"/>
        <v>45.814892864851153</v>
      </c>
      <c r="AF151" s="28">
        <f t="shared" si="65"/>
        <v>0.25</v>
      </c>
      <c r="AG151" s="29">
        <f t="shared" si="62"/>
        <v>45.814713737161874</v>
      </c>
      <c r="AH151" s="11"/>
      <c r="AI151" s="26">
        <f t="shared" si="66"/>
        <v>5.6841051104248343E-2</v>
      </c>
      <c r="AJ151" s="27">
        <f t="shared" si="67"/>
        <v>1.6493361431346414</v>
      </c>
      <c r="AK151" s="29">
        <f t="shared" si="68"/>
        <v>0.125</v>
      </c>
      <c r="AL151" s="29">
        <f t="shared" si="69"/>
        <v>1.5973933824017459</v>
      </c>
      <c r="AN151" s="26">
        <f t="shared" si="70"/>
        <v>0.45472840883398674</v>
      </c>
      <c r="AO151" s="27">
        <f t="shared" si="71"/>
        <v>131.94689145077132</v>
      </c>
      <c r="AP151" s="29">
        <f t="shared" si="72"/>
        <v>10</v>
      </c>
      <c r="AQ151" s="29" t="e">
        <f t="shared" si="73"/>
        <v>#N/A</v>
      </c>
      <c r="AS151" s="26">
        <f t="shared" si="74"/>
        <v>6.889824376272526</v>
      </c>
      <c r="AT151" s="27">
        <f t="shared" si="75"/>
        <v>65.973445725385659</v>
      </c>
      <c r="AU151" s="29">
        <f t="shared" si="76"/>
        <v>5</v>
      </c>
      <c r="AV151" s="29" t="e">
        <f t="shared" si="77"/>
        <v>#N/A</v>
      </c>
      <c r="AX151" s="26">
        <f t="shared" si="78"/>
        <v>1.209384066047837</v>
      </c>
      <c r="AY151" s="27">
        <f t="shared" si="79"/>
        <v>1.6493361431346414</v>
      </c>
      <c r="AZ151" s="29">
        <f t="shared" si="80"/>
        <v>0.125</v>
      </c>
      <c r="BA151" s="29">
        <f t="shared" si="81"/>
        <v>0.45736509500943934</v>
      </c>
    </row>
    <row r="152" spans="26:53" x14ac:dyDescent="0.3">
      <c r="Z152" s="22">
        <v>40000000</v>
      </c>
      <c r="AA152" s="4" cm="1">
        <f t="array" ref="AA152">_xlfn.IFS(AND($C$64="Yes",$C$78="Yes",$C$92="Yes",$C$50="Yes"),1/((1/AG152)+(1/AL152)+(1/AQ152)+(1/AV152)+(1/BA152)),AND($C$64="Yes",$C$78="Yes",$C$92="Yes",$C$50="No"),1/((1/AG152)+(1/AL152)+(1/AQ152)+(1/AV152)),AND($C$64="Yes",$C$78="Yes",$C$92="No",$C$50="No"),1/((1/AG152)+(1/AL152)+(1/AQ152)),AND($C$64="Yes",$C$78="No",$C$92="No",$C$50="No"),1/((1/AG152)+(1/AL152)),AND($C$64="No",$C$78="No",$C$92="No",$C$50="No"),1/((1/AG152)),AND($C$64="Yes",$C$78="No",$C$92="No",$C$50="Yes"),1/((1/AG152)+(1/AL152)+(1/BA152)), AND($C$64="No",$C$78="No",$C$92="No",$C$50="Yes"),1/((1/AG152)+(1/BA152)), AND($C$64="No",$C$78="Yes",$C$92="No",$C$50="Yes"),1/((1/AG152)+(1/AQ152)+(1/BA152)))</f>
        <v>0.56860059979159361</v>
      </c>
      <c r="AB152" s="28">
        <f t="shared" si="59"/>
        <v>0.79935871743486953</v>
      </c>
      <c r="AD152" s="26">
        <f t="shared" si="63"/>
        <v>7.5357454115480762E-4</v>
      </c>
      <c r="AE152" s="27">
        <f t="shared" si="64"/>
        <v>52.35987755982989</v>
      </c>
      <c r="AF152" s="28">
        <f t="shared" si="65"/>
        <v>0.25</v>
      </c>
      <c r="AG152" s="29">
        <f t="shared" si="62"/>
        <v>52.359720821513534</v>
      </c>
      <c r="AH152" s="11"/>
      <c r="AI152" s="26">
        <f t="shared" si="66"/>
        <v>4.973591971621729E-2</v>
      </c>
      <c r="AJ152" s="27">
        <f t="shared" si="67"/>
        <v>1.8849555921538761</v>
      </c>
      <c r="AK152" s="29">
        <f t="shared" si="68"/>
        <v>0.125</v>
      </c>
      <c r="AL152" s="29">
        <f t="shared" si="69"/>
        <v>1.8394717301720589</v>
      </c>
      <c r="AN152" s="26">
        <f t="shared" si="70"/>
        <v>0.39788735772973832</v>
      </c>
      <c r="AO152" s="27">
        <f t="shared" si="71"/>
        <v>150.79644737231007</v>
      </c>
      <c r="AP152" s="29">
        <f t="shared" si="72"/>
        <v>10</v>
      </c>
      <c r="AQ152" s="29" t="e">
        <f t="shared" si="73"/>
        <v>#N/A</v>
      </c>
      <c r="AS152" s="26">
        <f t="shared" si="74"/>
        <v>6.0285963292384599</v>
      </c>
      <c r="AT152" s="27">
        <f t="shared" si="75"/>
        <v>75.398223686155035</v>
      </c>
      <c r="AU152" s="29">
        <f t="shared" si="76"/>
        <v>5</v>
      </c>
      <c r="AV152" s="29" t="e">
        <f t="shared" si="77"/>
        <v>#N/A</v>
      </c>
      <c r="AX152" s="26">
        <f t="shared" si="78"/>
        <v>1.0582110577918571</v>
      </c>
      <c r="AY152" s="27">
        <f t="shared" si="79"/>
        <v>1.8849555921538761</v>
      </c>
      <c r="AZ152" s="29">
        <f t="shared" si="80"/>
        <v>0.125</v>
      </c>
      <c r="BA152" s="29">
        <f t="shared" si="81"/>
        <v>0.83614085242707259</v>
      </c>
    </row>
    <row r="153" spans="26:53" x14ac:dyDescent="0.3">
      <c r="Z153" s="44">
        <v>45000000</v>
      </c>
      <c r="AA153" s="4" cm="1">
        <f t="array" ref="AA153">_xlfn.IFS(AND($C$64="Yes",$C$78="Yes",$C$92="Yes",$C$50="Yes"),1/((1/AG153)+(1/AL153)+(1/AQ153)+(1/AV153)+(1/BA153)),AND($C$64="Yes",$C$78="Yes",$C$92="Yes",$C$50="No"),1/((1/AG153)+(1/AL153)+(1/AQ153)+(1/AV153)),AND($C$64="Yes",$C$78="Yes",$C$92="No",$C$50="No"),1/((1/AG153)+(1/AL153)+(1/AQ153)),AND($C$64="Yes",$C$78="No",$C$92="No",$C$50="No"),1/((1/AG153)+(1/AL153)),AND($C$64="No",$C$78="No",$C$92="No",$C$50="No"),1/((1/AG153)),AND($C$64="Yes",$C$78="No",$C$92="No",$C$50="Yes"),1/((1/AG153)+(1/AL153)+(1/BA153)), AND($C$64="No",$C$78="No",$C$92="No",$C$50="Yes"),1/((1/AG153)+(1/BA153)), AND($C$64="No",$C$78="Yes",$C$92="No",$C$50="Yes"),1/((1/AG153)+(1/AQ153)+(1/BA153)))</f>
        <v>0.74599050702382019</v>
      </c>
      <c r="AB153" s="28">
        <f t="shared" si="59"/>
        <v>0.79935871743486953</v>
      </c>
      <c r="AD153" s="26">
        <f t="shared" si="63"/>
        <v>6.6984403658205114E-4</v>
      </c>
      <c r="AE153" s="27">
        <f t="shared" si="64"/>
        <v>58.90486225480862</v>
      </c>
      <c r="AF153" s="28">
        <f t="shared" si="65"/>
        <v>0.25</v>
      </c>
      <c r="AG153" s="29">
        <f t="shared" si="62"/>
        <v>58.904722930892852</v>
      </c>
      <c r="AH153" s="11"/>
      <c r="AI153" s="26">
        <f t="shared" si="66"/>
        <v>4.4209706414415371E-2</v>
      </c>
      <c r="AJ153" s="27">
        <f t="shared" si="67"/>
        <v>2.1205750411731104</v>
      </c>
      <c r="AK153" s="29">
        <f t="shared" si="68"/>
        <v>0.125</v>
      </c>
      <c r="AL153" s="29">
        <f t="shared" si="69"/>
        <v>2.0801245163180946</v>
      </c>
      <c r="AN153" s="26">
        <f t="shared" si="70"/>
        <v>0.35367765131532297</v>
      </c>
      <c r="AO153" s="27">
        <f t="shared" si="71"/>
        <v>169.64600329384882</v>
      </c>
      <c r="AP153" s="29">
        <f t="shared" si="72"/>
        <v>10</v>
      </c>
      <c r="AQ153" s="29" t="e">
        <f t="shared" si="73"/>
        <v>#N/A</v>
      </c>
      <c r="AS153" s="26">
        <f t="shared" si="74"/>
        <v>5.3587522926564093</v>
      </c>
      <c r="AT153" s="27">
        <f t="shared" si="75"/>
        <v>84.823001646924411</v>
      </c>
      <c r="AU153" s="29">
        <f t="shared" si="76"/>
        <v>5</v>
      </c>
      <c r="AV153" s="29" t="e">
        <f t="shared" si="77"/>
        <v>#N/A</v>
      </c>
      <c r="AX153" s="26">
        <f t="shared" si="78"/>
        <v>0.94063205137053985</v>
      </c>
      <c r="AY153" s="27">
        <f t="shared" si="79"/>
        <v>2.1205750411731104</v>
      </c>
      <c r="AZ153" s="29">
        <f t="shared" si="80"/>
        <v>0.125</v>
      </c>
      <c r="BA153" s="29">
        <f t="shared" si="81"/>
        <v>1.1865455992856866</v>
      </c>
    </row>
    <row r="154" spans="26:53" x14ac:dyDescent="0.3">
      <c r="Z154" s="22">
        <v>50000000</v>
      </c>
      <c r="AA154" s="4" cm="1">
        <f t="array" ref="AA154">_xlfn.IFS(AND($C$64="Yes",$C$78="Yes",$C$92="Yes",$C$50="Yes"),1/((1/AG154)+(1/AL154)+(1/AQ154)+(1/AV154)+(1/BA154)),AND($C$64="Yes",$C$78="Yes",$C$92="Yes",$C$50="No"),1/((1/AG154)+(1/AL154)+(1/AQ154)+(1/AV154)),AND($C$64="Yes",$C$78="Yes",$C$92="No",$C$50="No"),1/((1/AG154)+(1/AL154)+(1/AQ154)),AND($C$64="Yes",$C$78="No",$C$92="No",$C$50="No"),1/((1/AG154)+(1/AL154)),AND($C$64="No",$C$78="No",$C$92="No",$C$50="No"),1/((1/AG154)),AND($C$64="Yes",$C$78="No",$C$92="No",$C$50="Yes"),1/((1/AG154)+(1/AL154)+(1/BA154)), AND($C$64="No",$C$78="No",$C$92="No",$C$50="Yes"),1/((1/AG154)+(1/BA154)), AND($C$64="No",$C$78="Yes",$C$92="No",$C$50="Yes"),1/((1/AG154)+(1/AQ154)+(1/BA154)))</f>
        <v>0.90374102191462702</v>
      </c>
      <c r="AB154" s="28">
        <f t="shared" si="59"/>
        <v>0.79935871743486953</v>
      </c>
      <c r="AD154" s="26">
        <f t="shared" si="63"/>
        <v>6.0285963292384601E-4</v>
      </c>
      <c r="AE154" s="27">
        <f t="shared" si="64"/>
        <v>65.449846949787357</v>
      </c>
      <c r="AF154" s="28">
        <f t="shared" si="65"/>
        <v>0.25</v>
      </c>
      <c r="AG154" s="29">
        <f t="shared" si="62"/>
        <v>65.449721557640075</v>
      </c>
      <c r="AH154" s="11"/>
      <c r="AI154" s="26">
        <f t="shared" si="66"/>
        <v>3.9788735772973843E-2</v>
      </c>
      <c r="AJ154" s="27">
        <f t="shared" si="67"/>
        <v>2.3561944901923444</v>
      </c>
      <c r="AK154" s="29">
        <f t="shared" si="68"/>
        <v>0.125</v>
      </c>
      <c r="AL154" s="29">
        <f t="shared" si="69"/>
        <v>2.3197759846819634</v>
      </c>
      <c r="AN154" s="26">
        <f t="shared" si="70"/>
        <v>0.31830988618379075</v>
      </c>
      <c r="AO154" s="27">
        <f t="shared" si="71"/>
        <v>188.49555921538757</v>
      </c>
      <c r="AP154" s="29">
        <f t="shared" si="72"/>
        <v>10</v>
      </c>
      <c r="AQ154" s="29" t="e">
        <f t="shared" si="73"/>
        <v>#N/A</v>
      </c>
      <c r="AS154" s="26">
        <f t="shared" si="74"/>
        <v>4.8228770633907683</v>
      </c>
      <c r="AT154" s="27">
        <f t="shared" si="75"/>
        <v>94.247779607693786</v>
      </c>
      <c r="AU154" s="29">
        <f t="shared" si="76"/>
        <v>5</v>
      </c>
      <c r="AV154" s="29" t="e">
        <f t="shared" si="77"/>
        <v>#N/A</v>
      </c>
      <c r="AX154" s="26">
        <f t="shared" si="78"/>
        <v>0.84656884623348594</v>
      </c>
      <c r="AY154" s="27">
        <f t="shared" si="79"/>
        <v>2.3561944901923444</v>
      </c>
      <c r="AZ154" s="29">
        <f t="shared" si="80"/>
        <v>0.125</v>
      </c>
      <c r="BA154" s="29">
        <f t="shared" si="81"/>
        <v>1.5147919279221809</v>
      </c>
    </row>
    <row r="155" spans="26:53" x14ac:dyDescent="0.3">
      <c r="Z155" s="44">
        <v>55000000</v>
      </c>
      <c r="AA155" s="4" cm="1">
        <f t="array" ref="AA155">_xlfn.IFS(AND($C$64="Yes",$C$78="Yes",$C$92="Yes",$C$50="Yes"),1/((1/AG155)+(1/AL155)+(1/AQ155)+(1/AV155)+(1/BA155)),AND($C$64="Yes",$C$78="Yes",$C$92="Yes",$C$50="No"),1/((1/AG155)+(1/AL155)+(1/AQ155)+(1/AV155)),AND($C$64="Yes",$C$78="Yes",$C$92="No",$C$50="No"),1/((1/AG155)+(1/AL155)+(1/AQ155)),AND($C$64="Yes",$C$78="No",$C$92="No",$C$50="No"),1/((1/AG155)+(1/AL155)),AND($C$64="No",$C$78="No",$C$92="No",$C$50="No"),1/((1/AG155)),AND($C$64="Yes",$C$78="No",$C$92="No",$C$50="Yes"),1/((1/AG155)+(1/AL155)+(1/BA155)), AND($C$64="No",$C$78="No",$C$92="No",$C$50="Yes"),1/((1/AG155)+(1/BA155)), AND($C$64="No",$C$78="Yes",$C$92="No",$C$50="Yes"),1/((1/AG155)+(1/AQ155)+(1/BA155)))</f>
        <v>1.0501857664626757</v>
      </c>
      <c r="AB155" s="28">
        <f t="shared" si="59"/>
        <v>0.79935871743486953</v>
      </c>
      <c r="AD155" s="26">
        <f t="shared" si="63"/>
        <v>5.4805421174895091E-4</v>
      </c>
      <c r="AE155" s="27">
        <f t="shared" si="64"/>
        <v>71.994831644766094</v>
      </c>
      <c r="AF155" s="28">
        <f t="shared" si="65"/>
        <v>0.25</v>
      </c>
      <c r="AG155" s="29">
        <f t="shared" si="62"/>
        <v>71.994717651485814</v>
      </c>
      <c r="AH155" s="11"/>
      <c r="AI155" s="26">
        <f t="shared" si="66"/>
        <v>3.617157797543076E-2</v>
      </c>
      <c r="AJ155" s="27">
        <f t="shared" si="67"/>
        <v>2.5918139392115793</v>
      </c>
      <c r="AK155" s="29">
        <f t="shared" si="68"/>
        <v>0.125</v>
      </c>
      <c r="AL155" s="29">
        <f t="shared" si="69"/>
        <v>2.5586974964900948</v>
      </c>
      <c r="AN155" s="26">
        <f t="shared" si="70"/>
        <v>0.28937262380344608</v>
      </c>
      <c r="AO155" s="27">
        <f t="shared" si="71"/>
        <v>207.34511513692635</v>
      </c>
      <c r="AP155" s="29">
        <f t="shared" si="72"/>
        <v>10</v>
      </c>
      <c r="AQ155" s="29" t="e">
        <f t="shared" si="73"/>
        <v>#N/A</v>
      </c>
      <c r="AS155" s="26">
        <f t="shared" si="74"/>
        <v>4.3844336939916069</v>
      </c>
      <c r="AT155" s="27">
        <f t="shared" si="75"/>
        <v>103.67255756846318</v>
      </c>
      <c r="AU155" s="29">
        <f t="shared" si="76"/>
        <v>5</v>
      </c>
      <c r="AV155" s="29" t="e">
        <f t="shared" si="77"/>
        <v>#N/A</v>
      </c>
      <c r="AX155" s="26">
        <f t="shared" si="78"/>
        <v>0.76960804203044175</v>
      </c>
      <c r="AY155" s="27">
        <f t="shared" si="79"/>
        <v>2.5918139392115793</v>
      </c>
      <c r="AZ155" s="29">
        <f t="shared" si="80"/>
        <v>0.125</v>
      </c>
      <c r="BA155" s="29">
        <f t="shared" si="81"/>
        <v>1.8264882511863347</v>
      </c>
    </row>
    <row r="156" spans="26:53" x14ac:dyDescent="0.3">
      <c r="Z156" s="22">
        <v>60000000</v>
      </c>
      <c r="AA156" s="4" cm="1">
        <f t="array" ref="AA156">_xlfn.IFS(AND($C$64="Yes",$C$78="Yes",$C$92="Yes",$C$50="Yes"),1/((1/AG156)+(1/AL156)+(1/AQ156)+(1/AV156)+(1/BA156)),AND($C$64="Yes",$C$78="Yes",$C$92="Yes",$C$50="No"),1/((1/AG156)+(1/AL156)+(1/AQ156)+(1/AV156)),AND($C$64="Yes",$C$78="Yes",$C$92="No",$C$50="No"),1/((1/AG156)+(1/AL156)+(1/AQ156)),AND($C$64="Yes",$C$78="No",$C$92="No",$C$50="No"),1/((1/AG156)+(1/AL156)),AND($C$64="No",$C$78="No",$C$92="No",$C$50="No"),1/((1/AG156)),AND($C$64="Yes",$C$78="No",$C$92="No",$C$50="Yes"),1/((1/AG156)+(1/AL156)+(1/BA156)), AND($C$64="No",$C$78="No",$C$92="No",$C$50="Yes"),1/((1/AG156)+(1/BA156)), AND($C$64="No",$C$78="Yes",$C$92="No",$C$50="Yes"),1/((1/AG156)+(1/AQ156)+(1/BA156)))</f>
        <v>1.1894901586429556</v>
      </c>
      <c r="AB156" s="28">
        <f t="shared" si="59"/>
        <v>0.79935871743486953</v>
      </c>
      <c r="AD156" s="26">
        <f t="shared" si="63"/>
        <v>5.0238302743653841E-4</v>
      </c>
      <c r="AE156" s="27">
        <f t="shared" si="64"/>
        <v>78.539816339744831</v>
      </c>
      <c r="AF156" s="28">
        <f t="shared" si="65"/>
        <v>0.25</v>
      </c>
      <c r="AG156" s="29">
        <f t="shared" si="62"/>
        <v>78.539711845612359</v>
      </c>
      <c r="AH156" s="11"/>
      <c r="AI156" s="26">
        <f t="shared" si="66"/>
        <v>3.3157279810811527E-2</v>
      </c>
      <c r="AJ156" s="27">
        <f t="shared" si="67"/>
        <v>2.8274333882308138</v>
      </c>
      <c r="AK156" s="29">
        <f t="shared" si="68"/>
        <v>0.125</v>
      </c>
      <c r="AL156" s="29">
        <f t="shared" si="69"/>
        <v>2.7970706051308096</v>
      </c>
      <c r="AN156" s="26">
        <f t="shared" si="70"/>
        <v>0.26525823848649221</v>
      </c>
      <c r="AO156" s="27">
        <f t="shared" si="71"/>
        <v>226.1946710584651</v>
      </c>
      <c r="AP156" s="29">
        <f t="shared" si="72"/>
        <v>10</v>
      </c>
      <c r="AQ156" s="29" t="e">
        <f t="shared" si="73"/>
        <v>#N/A</v>
      </c>
      <c r="AS156" s="26">
        <f t="shared" si="74"/>
        <v>4.0190642194923072</v>
      </c>
      <c r="AT156" s="27">
        <f t="shared" si="75"/>
        <v>113.09733552923255</v>
      </c>
      <c r="AU156" s="29">
        <f t="shared" si="76"/>
        <v>5</v>
      </c>
      <c r="AV156" s="29" t="e">
        <f t="shared" si="77"/>
        <v>#N/A</v>
      </c>
      <c r="AX156" s="26">
        <f t="shared" si="78"/>
        <v>0.70547403852790502</v>
      </c>
      <c r="AY156" s="27">
        <f t="shared" si="79"/>
        <v>2.8274333882308138</v>
      </c>
      <c r="AZ156" s="29">
        <f t="shared" si="80"/>
        <v>0.125</v>
      </c>
      <c r="BA156" s="29">
        <f t="shared" si="81"/>
        <v>2.1256378999706396</v>
      </c>
    </row>
    <row r="157" spans="26:53" x14ac:dyDescent="0.3">
      <c r="Z157" s="44">
        <v>65000000</v>
      </c>
      <c r="AA157" s="4" cm="1">
        <f t="array" ref="AA157">_xlfn.IFS(AND($C$64="Yes",$C$78="Yes",$C$92="Yes",$C$50="Yes"),1/((1/AG157)+(1/AL157)+(1/AQ157)+(1/AV157)+(1/BA157)),AND($C$64="Yes",$C$78="Yes",$C$92="Yes",$C$50="No"),1/((1/AG157)+(1/AL157)+(1/AQ157)+(1/AV157)),AND($C$64="Yes",$C$78="Yes",$C$92="No",$C$50="No"),1/((1/AG157)+(1/AL157)+(1/AQ157)),AND($C$64="Yes",$C$78="No",$C$92="No",$C$50="No"),1/((1/AG157)+(1/AL157)),AND($C$64="No",$C$78="No",$C$92="No",$C$50="No"),1/((1/AG157)),AND($C$64="Yes",$C$78="No",$C$92="No",$C$50="Yes"),1/((1/AG157)+(1/AL157)+(1/BA157)), AND($C$64="No",$C$78="No",$C$92="No",$C$50="Yes"),1/((1/AG157)+(1/BA157)), AND($C$64="No",$C$78="Yes",$C$92="No",$C$50="Yes"),1/((1/AG157)+(1/AQ157)+(1/BA157)))</f>
        <v>1.323969514036023</v>
      </c>
      <c r="AB157" s="28">
        <f t="shared" si="59"/>
        <v>0.79935871743486953</v>
      </c>
      <c r="AD157" s="26">
        <f t="shared" ref="AD157:AD182" si="82">1000/(2*PI()*$Z157*$C$41*$C$37*0.000001)</f>
        <v>4.6373817917218929E-4</v>
      </c>
      <c r="AE157" s="27">
        <f t="shared" ref="AE157:AE182" si="83">2*PI()*$Z157*((0.000000001*$C$39)/$C$41)*1000</f>
        <v>85.084801034723554</v>
      </c>
      <c r="AF157" s="28">
        <f t="shared" ref="AF157:AF182" si="84">($C$38)/$C$41</f>
        <v>0.25</v>
      </c>
      <c r="AG157" s="29">
        <f t="shared" si="62"/>
        <v>85.084704578391367</v>
      </c>
      <c r="AH157" s="11"/>
      <c r="AI157" s="26">
        <f t="shared" ref="AI157:AI182" si="85">1000/(2*PI()*$Z157*$C$69*$C$65*0.000001)</f>
        <v>3.060671982536449E-2</v>
      </c>
      <c r="AJ157" s="27">
        <f t="shared" ref="AJ157:AJ182" si="86">2*PI()*$Z157*((0.000000001*$C$67)/$C$69)*1000</f>
        <v>3.0630528372500483</v>
      </c>
      <c r="AK157" s="29">
        <f t="shared" ref="AK157:AK182" si="87">($C$66)/$C$69</f>
        <v>0.125</v>
      </c>
      <c r="AL157" s="29">
        <f t="shared" ref="AL157:AL182" si="88">IF($C$64="Yes", SQRT(AK157^(2)+ABS(AI157-AJ157)^(2)), NA())</f>
        <v>3.0350213269570347</v>
      </c>
      <c r="AN157" s="26">
        <f t="shared" ref="AN157:AN182" si="89">1000/(2*PI()*$Z157*$C$82*$C$79*0.000001)</f>
        <v>0.24485375860291592</v>
      </c>
      <c r="AO157" s="27">
        <f t="shared" ref="AO157:AO182" si="90">2*PI()*$Z157*((0.000000001*$C$81)/$C$82)*1000</f>
        <v>245.04422698000383</v>
      </c>
      <c r="AP157" s="29">
        <f t="shared" ref="AP157:AP182" si="91">($C$80)/$C$82</f>
        <v>10</v>
      </c>
      <c r="AQ157" s="29" t="e">
        <f t="shared" ref="AQ157:AQ182" si="92">IF($C$78="Yes", SQRT(AP157^(2)+ABS(AN157-AO157)^(2)), NA())</f>
        <v>#N/A</v>
      </c>
      <c r="AS157" s="26">
        <f t="shared" ref="AS157:AS182" si="93">1000/(2*PI()*$Z157*$C$97*$C$93*0.000001)</f>
        <v>3.7099054333775134</v>
      </c>
      <c r="AT157" s="27">
        <f t="shared" ref="AT157:AT182" si="94">2*PI()*$Z157*((0.000000001*$C$95)/$C$97)*1000</f>
        <v>122.52211349000191</v>
      </c>
      <c r="AU157" s="29">
        <f t="shared" ref="AU157:AU182" si="95">($C$94)/$C$97</f>
        <v>5</v>
      </c>
      <c r="AV157" s="29" t="e">
        <f t="shared" ref="AV157:AV182" si="96">IF($C$92="Yes", SQRT(AU157^(2)+ABS(AS157-AT157)^(2)), NA())</f>
        <v>#N/A</v>
      </c>
      <c r="AX157" s="26">
        <f t="shared" ref="AX157:AX182" si="97">1000/(2*PI()*$Z157*$C$55*$C$51*0.000001)</f>
        <v>0.65120680479498916</v>
      </c>
      <c r="AY157" s="27">
        <f t="shared" ref="AY157:AY182" si="98">2*PI()*$Z157*((0.000000001*$C$53)/$C$55)*1000</f>
        <v>3.0630528372500483</v>
      </c>
      <c r="AZ157" s="29">
        <f t="shared" ref="AZ157:AZ182" si="99">($C$52)/$C$55</f>
        <v>0.125</v>
      </c>
      <c r="BA157" s="29">
        <f t="shared" ref="BA157:BA182" si="100">IF($C$50="Yes", SQRT(AZ157^(2)+ABS(AX157-AY157)^(2)), NA())</f>
        <v>2.4150830802001844</v>
      </c>
    </row>
    <row r="158" spans="26:53" x14ac:dyDescent="0.3">
      <c r="Z158" s="22">
        <v>70000000</v>
      </c>
      <c r="AA158" s="4" cm="1">
        <f t="array" ref="AA158">_xlfn.IFS(AND($C$64="Yes",$C$78="Yes",$C$92="Yes",$C$50="Yes"),1/((1/AG158)+(1/AL158)+(1/AQ158)+(1/AV158)+(1/BA158)),AND($C$64="Yes",$C$78="Yes",$C$92="Yes",$C$50="No"),1/((1/AG158)+(1/AL158)+(1/AQ158)+(1/AV158)),AND($C$64="Yes",$C$78="Yes",$C$92="No",$C$50="No"),1/((1/AG158)+(1/AL158)+(1/AQ158)),AND($C$64="Yes",$C$78="No",$C$92="No",$C$50="No"),1/((1/AG158)+(1/AL158)),AND($C$64="No",$C$78="No",$C$92="No",$C$50="No"),1/((1/AG158)),AND($C$64="Yes",$C$78="No",$C$92="No",$C$50="Yes"),1/((1/AG158)+(1/AL158)+(1/BA158)), AND($C$64="No",$C$78="No",$C$92="No",$C$50="Yes"),1/((1/AG158)+(1/BA158)), AND($C$64="No",$C$78="Yes",$C$92="No",$C$50="Yes"),1/((1/AG158)+(1/AQ158)+(1/BA158)))</f>
        <v>1.4550190154727058</v>
      </c>
      <c r="AB158" s="28">
        <f t="shared" ref="AB158:AB182" si="101">$C$29</f>
        <v>0.79935871743486953</v>
      </c>
      <c r="AD158" s="26">
        <f t="shared" si="82"/>
        <v>4.3061402351703284E-4</v>
      </c>
      <c r="AE158" s="27">
        <f t="shared" si="83"/>
        <v>91.629785729702306</v>
      </c>
      <c r="AF158" s="28">
        <f t="shared" si="84"/>
        <v>0.25</v>
      </c>
      <c r="AG158" s="29">
        <f t="shared" si="62"/>
        <v>91.629696162953479</v>
      </c>
      <c r="AH158" s="11"/>
      <c r="AI158" s="26">
        <f t="shared" si="85"/>
        <v>2.8420525552124171E-2</v>
      </c>
      <c r="AJ158" s="27">
        <f t="shared" si="86"/>
        <v>3.2986722862692828</v>
      </c>
      <c r="AK158" s="29">
        <f t="shared" si="87"/>
        <v>0.125</v>
      </c>
      <c r="AL158" s="29">
        <f t="shared" si="88"/>
        <v>3.2726398485738812</v>
      </c>
      <c r="AN158" s="26">
        <f t="shared" si="89"/>
        <v>0.22736420441699337</v>
      </c>
      <c r="AO158" s="27">
        <f t="shared" si="90"/>
        <v>263.89378290154264</v>
      </c>
      <c r="AP158" s="29">
        <f t="shared" si="91"/>
        <v>10</v>
      </c>
      <c r="AQ158" s="29" t="e">
        <f t="shared" si="92"/>
        <v>#N/A</v>
      </c>
      <c r="AS158" s="26">
        <f t="shared" si="93"/>
        <v>3.444912188136263</v>
      </c>
      <c r="AT158" s="27">
        <f t="shared" si="94"/>
        <v>131.94689145077132</v>
      </c>
      <c r="AU158" s="29">
        <f t="shared" si="95"/>
        <v>5</v>
      </c>
      <c r="AV158" s="29" t="e">
        <f t="shared" si="96"/>
        <v>#N/A</v>
      </c>
      <c r="AX158" s="26">
        <f t="shared" si="97"/>
        <v>0.6046920330239185</v>
      </c>
      <c r="AY158" s="27">
        <f t="shared" si="98"/>
        <v>3.2986722862692828</v>
      </c>
      <c r="AZ158" s="29">
        <f t="shared" si="99"/>
        <v>0.125</v>
      </c>
      <c r="BA158" s="29">
        <f t="shared" si="100"/>
        <v>2.6968786781900209</v>
      </c>
    </row>
    <row r="159" spans="26:53" x14ac:dyDescent="0.3">
      <c r="Z159" s="44">
        <v>75000000</v>
      </c>
      <c r="AA159" s="4" cm="1">
        <f t="array" ref="AA159">_xlfn.IFS(AND($C$64="Yes",$C$78="Yes",$C$92="Yes",$C$50="Yes"),1/((1/AG159)+(1/AL159)+(1/AQ159)+(1/AV159)+(1/BA159)),AND($C$64="Yes",$C$78="Yes",$C$92="Yes",$C$50="No"),1/((1/AG159)+(1/AL159)+(1/AQ159)+(1/AV159)),AND($C$64="Yes",$C$78="Yes",$C$92="No",$C$50="No"),1/((1/AG159)+(1/AL159)+(1/AQ159)),AND($C$64="Yes",$C$78="No",$C$92="No",$C$50="No"),1/((1/AG159)+(1/AL159)),AND($C$64="No",$C$78="No",$C$92="No",$C$50="No"),1/((1/AG159)),AND($C$64="Yes",$C$78="No",$C$92="No",$C$50="Yes"),1/((1/AG159)+(1/AL159)+(1/BA159)), AND($C$64="No",$C$78="No",$C$92="No",$C$50="Yes"),1/((1/AG159)+(1/BA159)), AND($C$64="No",$C$78="Yes",$C$92="No",$C$50="Yes"),1/((1/AG159)+(1/AQ159)+(1/BA159)))</f>
        <v>1.5835331735300531</v>
      </c>
      <c r="AB159" s="28">
        <f t="shared" si="101"/>
        <v>0.79935871743486953</v>
      </c>
      <c r="AD159" s="26">
        <f t="shared" si="82"/>
        <v>4.0190642194923071E-4</v>
      </c>
      <c r="AE159" s="27">
        <f t="shared" si="83"/>
        <v>98.174770424681029</v>
      </c>
      <c r="AF159" s="28">
        <f t="shared" si="84"/>
        <v>0.25</v>
      </c>
      <c r="AG159" s="29">
        <f t="shared" si="62"/>
        <v>98.174686828932323</v>
      </c>
      <c r="AH159" s="11"/>
      <c r="AI159" s="26">
        <f t="shared" si="85"/>
        <v>2.6525823848649228E-2</v>
      </c>
      <c r="AJ159" s="27">
        <f t="shared" si="86"/>
        <v>3.5342917352885173</v>
      </c>
      <c r="AK159" s="29">
        <f t="shared" si="87"/>
        <v>0.125</v>
      </c>
      <c r="AL159" s="29">
        <f t="shared" si="88"/>
        <v>3.5099924058977061</v>
      </c>
      <c r="AN159" s="26">
        <f t="shared" si="89"/>
        <v>0.21220659078919382</v>
      </c>
      <c r="AO159" s="27">
        <f t="shared" si="90"/>
        <v>282.74333882308139</v>
      </c>
      <c r="AP159" s="29">
        <f t="shared" si="91"/>
        <v>10</v>
      </c>
      <c r="AQ159" s="29" t="e">
        <f t="shared" si="92"/>
        <v>#N/A</v>
      </c>
      <c r="AS159" s="26">
        <f t="shared" si="93"/>
        <v>3.2152513755938457</v>
      </c>
      <c r="AT159" s="27">
        <f t="shared" si="94"/>
        <v>141.37166941154069</v>
      </c>
      <c r="AU159" s="29">
        <f t="shared" si="95"/>
        <v>5</v>
      </c>
      <c r="AV159" s="29" t="e">
        <f t="shared" si="96"/>
        <v>#N/A</v>
      </c>
      <c r="AX159" s="26">
        <f t="shared" si="97"/>
        <v>0.564379230822324</v>
      </c>
      <c r="AY159" s="27">
        <f t="shared" si="98"/>
        <v>3.5342917352885173</v>
      </c>
      <c r="AZ159" s="29">
        <f t="shared" si="99"/>
        <v>0.125</v>
      </c>
      <c r="BA159" s="29">
        <f t="shared" si="100"/>
        <v>2.9725418893910742</v>
      </c>
    </row>
    <row r="160" spans="26:53" x14ac:dyDescent="0.3">
      <c r="Z160" s="22">
        <v>80000000</v>
      </c>
      <c r="AA160" s="4" cm="1">
        <f t="array" ref="AA160">_xlfn.IFS(AND($C$64="Yes",$C$78="Yes",$C$92="Yes",$C$50="Yes"),1/((1/AG160)+(1/AL160)+(1/AQ160)+(1/AV160)+(1/BA160)),AND($C$64="Yes",$C$78="Yes",$C$92="Yes",$C$50="No"),1/((1/AG160)+(1/AL160)+(1/AQ160)+(1/AV160)),AND($C$64="Yes",$C$78="Yes",$C$92="No",$C$50="No"),1/((1/AG160)+(1/AL160)+(1/AQ160)),AND($C$64="Yes",$C$78="No",$C$92="No",$C$50="No"),1/((1/AG160)+(1/AL160)),AND($C$64="No",$C$78="No",$C$92="No",$C$50="No"),1/((1/AG160)),AND($C$64="Yes",$C$78="No",$C$92="No",$C$50="Yes"),1/((1/AG160)+(1/AL160)+(1/BA160)), AND($C$64="No",$C$78="No",$C$92="No",$C$50="Yes"),1/((1/AG160)+(1/BA160)), AND($C$64="No",$C$78="Yes",$C$92="No",$C$50="Yes"),1/((1/AG160)+(1/AQ160)+(1/BA160)))</f>
        <v>1.7101141584365629</v>
      </c>
      <c r="AB160" s="28">
        <f t="shared" si="101"/>
        <v>0.79935871743486953</v>
      </c>
      <c r="AD160" s="26">
        <f t="shared" si="82"/>
        <v>3.7678727057740381E-4</v>
      </c>
      <c r="AE160" s="27">
        <f t="shared" si="83"/>
        <v>104.71975511965978</v>
      </c>
      <c r="AF160" s="28">
        <f t="shared" si="84"/>
        <v>0.25</v>
      </c>
      <c r="AG160" s="29">
        <f t="shared" si="62"/>
        <v>104.71967674855601</v>
      </c>
      <c r="AH160" s="11"/>
      <c r="AI160" s="26">
        <f t="shared" si="85"/>
        <v>2.4867959858108645E-2</v>
      </c>
      <c r="AJ160" s="27">
        <f t="shared" si="86"/>
        <v>3.7699111843077522</v>
      </c>
      <c r="AK160" s="29">
        <f t="shared" si="87"/>
        <v>0.125</v>
      </c>
      <c r="AL160" s="29">
        <f t="shared" si="88"/>
        <v>3.7471287345107567</v>
      </c>
      <c r="AN160" s="26">
        <f t="shared" si="89"/>
        <v>0.19894367886486916</v>
      </c>
      <c r="AO160" s="27">
        <f t="shared" si="90"/>
        <v>301.59289474462014</v>
      </c>
      <c r="AP160" s="29">
        <f t="shared" si="91"/>
        <v>10</v>
      </c>
      <c r="AQ160" s="29" t="e">
        <f t="shared" si="92"/>
        <v>#N/A</v>
      </c>
      <c r="AS160" s="26">
        <f t="shared" si="93"/>
        <v>3.0142981646192299</v>
      </c>
      <c r="AT160" s="27">
        <f t="shared" si="94"/>
        <v>150.79644737231007</v>
      </c>
      <c r="AU160" s="29">
        <f t="shared" si="95"/>
        <v>5</v>
      </c>
      <c r="AV160" s="29" t="e">
        <f t="shared" si="96"/>
        <v>#N/A</v>
      </c>
      <c r="AX160" s="26">
        <f t="shared" si="97"/>
        <v>0.52910552889592855</v>
      </c>
      <c r="AY160" s="27">
        <f t="shared" si="98"/>
        <v>3.7699111843077522</v>
      </c>
      <c r="AZ160" s="29">
        <f t="shared" si="99"/>
        <v>0.125</v>
      </c>
      <c r="BA160" s="29">
        <f t="shared" si="100"/>
        <v>3.2432154254920005</v>
      </c>
    </row>
    <row r="161" spans="26:53" x14ac:dyDescent="0.3">
      <c r="Z161" s="44">
        <v>85000000</v>
      </c>
      <c r="AA161" s="4" cm="1">
        <f t="array" ref="AA161">_xlfn.IFS(AND($C$64="Yes",$C$78="Yes",$C$92="Yes",$C$50="Yes"),1/((1/AG161)+(1/AL161)+(1/AQ161)+(1/AV161)+(1/BA161)),AND($C$64="Yes",$C$78="Yes",$C$92="Yes",$C$50="No"),1/((1/AG161)+(1/AL161)+(1/AQ161)+(1/AV161)),AND($C$64="Yes",$C$78="Yes",$C$92="No",$C$50="No"),1/((1/AG161)+(1/AL161)+(1/AQ161)),AND($C$64="Yes",$C$78="No",$C$92="No",$C$50="No"),1/((1/AG161)+(1/AL161)),AND($C$64="No",$C$78="No",$C$92="No",$C$50="No"),1/((1/AG161)),AND($C$64="Yes",$C$78="No",$C$92="No",$C$50="Yes"),1/((1/AG161)+(1/AL161)+(1/BA161)), AND($C$64="No",$C$78="No",$C$92="No",$C$50="Yes"),1/((1/AG161)+(1/BA161)), AND($C$64="No",$C$78="Yes",$C$92="No",$C$50="Yes"),1/((1/AG161)+(1/AQ161)+(1/BA161)))</f>
        <v>1.8351835554628695</v>
      </c>
      <c r="AB161" s="28">
        <f t="shared" si="101"/>
        <v>0.79935871743486953</v>
      </c>
      <c r="AD161" s="26">
        <f t="shared" si="82"/>
        <v>3.5462331348461536E-4</v>
      </c>
      <c r="AE161" s="27">
        <f t="shared" si="83"/>
        <v>111.26473981463852</v>
      </c>
      <c r="AF161" s="28">
        <f t="shared" si="84"/>
        <v>0.25</v>
      </c>
      <c r="AG161" s="29">
        <f t="shared" si="62"/>
        <v>111.26466605352999</v>
      </c>
      <c r="AH161" s="11"/>
      <c r="AI161" s="26">
        <f t="shared" si="85"/>
        <v>2.3405138689984607E-2</v>
      </c>
      <c r="AJ161" s="27">
        <f t="shared" si="86"/>
        <v>4.0055306333269867</v>
      </c>
      <c r="AK161" s="29">
        <f t="shared" si="87"/>
        <v>0.125</v>
      </c>
      <c r="AL161" s="29">
        <f t="shared" si="88"/>
        <v>3.9840869035499198</v>
      </c>
      <c r="AN161" s="26">
        <f t="shared" si="89"/>
        <v>0.18724110951987685</v>
      </c>
      <c r="AO161" s="27">
        <f t="shared" si="90"/>
        <v>320.44245066615889</v>
      </c>
      <c r="AP161" s="29">
        <f t="shared" si="91"/>
        <v>10</v>
      </c>
      <c r="AQ161" s="29" t="e">
        <f t="shared" si="92"/>
        <v>#N/A</v>
      </c>
      <c r="AS161" s="26">
        <f t="shared" si="93"/>
        <v>2.8369865078769223</v>
      </c>
      <c r="AT161" s="27">
        <f t="shared" si="94"/>
        <v>160.22122533307945</v>
      </c>
      <c r="AU161" s="29">
        <f t="shared" si="95"/>
        <v>5</v>
      </c>
      <c r="AV161" s="29" t="e">
        <f t="shared" si="96"/>
        <v>#N/A</v>
      </c>
      <c r="AX161" s="26">
        <f t="shared" si="97"/>
        <v>0.49798167425499174</v>
      </c>
      <c r="AY161" s="27">
        <f t="shared" si="98"/>
        <v>4.0055306333269867</v>
      </c>
      <c r="AZ161" s="29">
        <f t="shared" si="99"/>
        <v>0.125</v>
      </c>
      <c r="BA161" s="29">
        <f t="shared" si="100"/>
        <v>3.5097755911577928</v>
      </c>
    </row>
    <row r="162" spans="26:53" x14ac:dyDescent="0.3">
      <c r="Z162" s="22">
        <v>90000000</v>
      </c>
      <c r="AA162" s="4" cm="1">
        <f t="array" ref="AA162">_xlfn.IFS(AND($C$64="Yes",$C$78="Yes",$C$92="Yes",$C$50="Yes"),1/((1/AG162)+(1/AL162)+(1/AQ162)+(1/AV162)+(1/BA162)),AND($C$64="Yes",$C$78="Yes",$C$92="Yes",$C$50="No"),1/((1/AG162)+(1/AL162)+(1/AQ162)+(1/AV162)),AND($C$64="Yes",$C$78="Yes",$C$92="No",$C$50="No"),1/((1/AG162)+(1/AL162)+(1/AQ162)),AND($C$64="Yes",$C$78="No",$C$92="No",$C$50="No"),1/((1/AG162)+(1/AL162)),AND($C$64="No",$C$78="No",$C$92="No",$C$50="No"),1/((1/AG162)),AND($C$64="Yes",$C$78="No",$C$92="No",$C$50="Yes"),1/((1/AG162)+(1/AL162)+(1/BA162)), AND($C$64="No",$C$78="No",$C$92="No",$C$50="Yes"),1/((1/AG162)+(1/BA162)), AND($C$64="No",$C$78="Yes",$C$92="No",$C$50="Yes"),1/((1/AG162)+(1/AQ162)+(1/BA162)))</f>
        <v>1.9590461665488379</v>
      </c>
      <c r="AB162" s="28">
        <f t="shared" si="101"/>
        <v>0.79935871743486953</v>
      </c>
      <c r="AD162" s="26">
        <f t="shared" si="82"/>
        <v>3.3492201829102557E-4</v>
      </c>
      <c r="AE162" s="27">
        <f t="shared" si="83"/>
        <v>117.80972450961724</v>
      </c>
      <c r="AF162" s="28">
        <f t="shared" si="84"/>
        <v>0.25</v>
      </c>
      <c r="AG162" s="29">
        <f t="shared" si="62"/>
        <v>117.80965484629291</v>
      </c>
      <c r="AH162" s="11"/>
      <c r="AI162" s="26">
        <f t="shared" si="85"/>
        <v>2.2104853207207686E-2</v>
      </c>
      <c r="AJ162" s="27">
        <f t="shared" si="86"/>
        <v>4.2411500823462207</v>
      </c>
      <c r="AK162" s="29">
        <f t="shared" si="87"/>
        <v>0.125</v>
      </c>
      <c r="AL162" s="29">
        <f t="shared" si="88"/>
        <v>4.2208965452283556</v>
      </c>
      <c r="AN162" s="26">
        <f t="shared" si="89"/>
        <v>0.17683882565766149</v>
      </c>
      <c r="AO162" s="27">
        <f t="shared" si="90"/>
        <v>339.29200658769764</v>
      </c>
      <c r="AP162" s="29">
        <f t="shared" si="91"/>
        <v>10</v>
      </c>
      <c r="AQ162" s="29" t="e">
        <f t="shared" si="92"/>
        <v>#N/A</v>
      </c>
      <c r="AS162" s="26">
        <f t="shared" si="93"/>
        <v>2.6793761463282046</v>
      </c>
      <c r="AT162" s="27">
        <f t="shared" si="94"/>
        <v>169.64600329384882</v>
      </c>
      <c r="AU162" s="29">
        <f t="shared" si="95"/>
        <v>5</v>
      </c>
      <c r="AV162" s="29" t="e">
        <f t="shared" si="96"/>
        <v>#N/A</v>
      </c>
      <c r="AX162" s="26">
        <f t="shared" si="97"/>
        <v>0.47031602568526992</v>
      </c>
      <c r="AY162" s="27">
        <f t="shared" si="98"/>
        <v>4.2411500823462207</v>
      </c>
      <c r="AZ162" s="29">
        <f t="shared" si="99"/>
        <v>0.125</v>
      </c>
      <c r="BA162" s="29">
        <f t="shared" si="100"/>
        <v>3.7729053106159558</v>
      </c>
    </row>
    <row r="163" spans="26:53" x14ac:dyDescent="0.3">
      <c r="Z163" s="44">
        <v>95000000</v>
      </c>
      <c r="AA163" s="4" cm="1">
        <f t="array" ref="AA163">_xlfn.IFS(AND($C$64="Yes",$C$78="Yes",$C$92="Yes",$C$50="Yes"),1/((1/AG163)+(1/AL163)+(1/AQ163)+(1/AV163)+(1/BA163)),AND($C$64="Yes",$C$78="Yes",$C$92="Yes",$C$50="No"),1/((1/AG163)+(1/AL163)+(1/AQ163)+(1/AV163)),AND($C$64="Yes",$C$78="Yes",$C$92="No",$C$50="No"),1/((1/AG163)+(1/AL163)+(1/AQ163)),AND($C$64="Yes",$C$78="No",$C$92="No",$C$50="No"),1/((1/AG163)+(1/AL163)),AND($C$64="No",$C$78="No",$C$92="No",$C$50="No"),1/((1/AG163)),AND($C$64="Yes",$C$78="No",$C$92="No",$C$50="Yes"),1/((1/AG163)+(1/AL163)+(1/BA163)), AND($C$64="No",$C$78="No",$C$92="No",$C$50="Yes"),1/((1/AG163)+(1/BA163)), AND($C$64="No",$C$78="Yes",$C$92="No",$C$50="Yes"),1/((1/AG163)+(1/AQ163)+(1/BA163)))</f>
        <v>2.0819283487459845</v>
      </c>
      <c r="AB163" s="28">
        <f t="shared" si="101"/>
        <v>0.79935871743486953</v>
      </c>
      <c r="AD163" s="26">
        <f t="shared" si="82"/>
        <v>3.1729454364412942E-4</v>
      </c>
      <c r="AE163" s="27">
        <f t="shared" si="83"/>
        <v>124.35470920459599</v>
      </c>
      <c r="AF163" s="28">
        <f t="shared" si="84"/>
        <v>0.25</v>
      </c>
      <c r="AG163" s="29">
        <f t="shared" si="62"/>
        <v>124.35464320771818</v>
      </c>
      <c r="AH163" s="11"/>
      <c r="AI163" s="26">
        <f t="shared" si="85"/>
        <v>2.0941439880512544E-2</v>
      </c>
      <c r="AJ163" s="27">
        <f t="shared" si="86"/>
        <v>4.4767695313654556</v>
      </c>
      <c r="AK163" s="29">
        <f t="shared" si="87"/>
        <v>0.125</v>
      </c>
      <c r="AL163" s="29">
        <f t="shared" si="88"/>
        <v>4.4575810683448429</v>
      </c>
      <c r="AN163" s="26">
        <f t="shared" si="89"/>
        <v>0.16753151904410035</v>
      </c>
      <c r="AO163" s="27">
        <f t="shared" si="90"/>
        <v>358.14156250923645</v>
      </c>
      <c r="AP163" s="29">
        <f t="shared" si="91"/>
        <v>10</v>
      </c>
      <c r="AQ163" s="29" t="e">
        <f t="shared" si="92"/>
        <v>#N/A</v>
      </c>
      <c r="AS163" s="26">
        <f t="shared" si="93"/>
        <v>2.5383563491530357</v>
      </c>
      <c r="AT163" s="27">
        <f t="shared" si="94"/>
        <v>179.07078125461823</v>
      </c>
      <c r="AU163" s="29">
        <f t="shared" si="95"/>
        <v>5</v>
      </c>
      <c r="AV163" s="29" t="e">
        <f t="shared" si="96"/>
        <v>#N/A</v>
      </c>
      <c r="AX163" s="26">
        <f t="shared" si="97"/>
        <v>0.44556255064920314</v>
      </c>
      <c r="AY163" s="27">
        <f t="shared" si="98"/>
        <v>4.4767695313654556</v>
      </c>
      <c r="AZ163" s="29">
        <f t="shared" si="99"/>
        <v>0.125</v>
      </c>
      <c r="BA163" s="29">
        <f t="shared" si="100"/>
        <v>4.033144520268948</v>
      </c>
    </row>
    <row r="164" spans="26:53" x14ac:dyDescent="0.3">
      <c r="Z164" s="22">
        <v>100000000</v>
      </c>
      <c r="AA164" s="4" cm="1">
        <f t="array" ref="AA164">_xlfn.IFS(AND($C$64="Yes",$C$78="Yes",$C$92="Yes",$C$50="Yes"),1/((1/AG164)+(1/AL164)+(1/AQ164)+(1/AV164)+(1/BA164)),AND($C$64="Yes",$C$78="Yes",$C$92="Yes",$C$50="No"),1/((1/AG164)+(1/AL164)+(1/AQ164)+(1/AV164)),AND($C$64="Yes",$C$78="Yes",$C$92="No",$C$50="No"),1/((1/AG164)+(1/AL164)+(1/AQ164)),AND($C$64="Yes",$C$78="No",$C$92="No",$C$50="No"),1/((1/AG164)+(1/AL164)),AND($C$64="No",$C$78="No",$C$92="No",$C$50="No"),1/((1/AG164)),AND($C$64="Yes",$C$78="No",$C$92="No",$C$50="Yes"),1/((1/AG164)+(1/AL164)+(1/BA164)), AND($C$64="No",$C$78="No",$C$92="No",$C$50="Yes"),1/((1/AG164)+(1/BA164)), AND($C$64="No",$C$78="Yes",$C$92="No",$C$50="Yes"),1/((1/AG164)+(1/AQ164)+(1/BA164)))</f>
        <v>2.2040020583027538</v>
      </c>
      <c r="AB164" s="28">
        <f t="shared" si="101"/>
        <v>0.79935871743486953</v>
      </c>
      <c r="AD164" s="26">
        <f t="shared" si="82"/>
        <v>3.01429816461923E-4</v>
      </c>
      <c r="AE164" s="27">
        <f t="shared" si="83"/>
        <v>130.89969389957471</v>
      </c>
      <c r="AF164" s="28">
        <f t="shared" si="84"/>
        <v>0.25</v>
      </c>
      <c r="AG164" s="29">
        <f t="shared" si="62"/>
        <v>130.89963120250493</v>
      </c>
      <c r="AH164" s="11"/>
      <c r="AI164" s="26">
        <f t="shared" si="85"/>
        <v>1.9894367886486922E-2</v>
      </c>
      <c r="AJ164" s="27">
        <f t="shared" si="86"/>
        <v>4.7123889803846888</v>
      </c>
      <c r="AK164" s="29">
        <f t="shared" si="87"/>
        <v>0.125</v>
      </c>
      <c r="AL164" s="29">
        <f t="shared" si="88"/>
        <v>4.6941592099464042</v>
      </c>
      <c r="AN164" s="26">
        <f t="shared" si="89"/>
        <v>0.15915494309189537</v>
      </c>
      <c r="AO164" s="27">
        <f t="shared" si="90"/>
        <v>376.99111843077515</v>
      </c>
      <c r="AP164" s="29">
        <f t="shared" si="91"/>
        <v>10</v>
      </c>
      <c r="AQ164" s="29" t="e">
        <f t="shared" si="92"/>
        <v>#N/A</v>
      </c>
      <c r="AS164" s="26">
        <f t="shared" si="93"/>
        <v>2.4114385316953841</v>
      </c>
      <c r="AT164" s="27">
        <f t="shared" si="94"/>
        <v>188.49555921538757</v>
      </c>
      <c r="AU164" s="29">
        <f t="shared" si="95"/>
        <v>5</v>
      </c>
      <c r="AV164" s="29" t="e">
        <f t="shared" si="96"/>
        <v>#N/A</v>
      </c>
      <c r="AX164" s="26">
        <f t="shared" si="97"/>
        <v>0.42328442311674297</v>
      </c>
      <c r="AY164" s="27">
        <f t="shared" si="98"/>
        <v>4.7123889803846888</v>
      </c>
      <c r="AZ164" s="29">
        <f t="shared" si="99"/>
        <v>0.125</v>
      </c>
      <c r="BA164" s="29">
        <f t="shared" si="100"/>
        <v>4.2909256464283621</v>
      </c>
    </row>
    <row r="165" spans="26:53" x14ac:dyDescent="0.3">
      <c r="Z165" s="44">
        <v>150000000</v>
      </c>
      <c r="AA165" s="4" cm="1">
        <f t="array" ref="AA165">_xlfn.IFS(AND($C$64="Yes",$C$78="Yes",$C$92="Yes",$C$50="Yes"),1/((1/AG165)+(1/AL165)+(1/AQ165)+(1/AV165)+(1/BA165)),AND($C$64="Yes",$C$78="Yes",$C$92="Yes",$C$50="No"),1/((1/AG165)+(1/AL165)+(1/AQ165)+(1/AV165)),AND($C$64="Yes",$C$78="Yes",$C$92="No",$C$50="No"),1/((1/AG165)+(1/AL165)+(1/AQ165)),AND($C$64="Yes",$C$78="No",$C$92="No",$C$50="No"),1/((1/AG165)+(1/AL165)),AND($C$64="No",$C$78="No",$C$92="No",$C$50="No"),1/((1/AG165)),AND($C$64="Yes",$C$78="No",$C$92="No",$C$50="Yes"),1/((1/AG165)+(1/AL165)+(1/BA165)), AND($C$64="No",$C$78="No",$C$92="No",$C$50="Yes"),1/((1/AG165)+(1/BA165)), AND($C$64="No",$C$78="Yes",$C$92="No",$C$50="Yes"),1/((1/AG165)+(1/AQ165)+(1/BA165)))</f>
        <v>3.3997832574627762</v>
      </c>
      <c r="AB165" s="28">
        <f t="shared" si="101"/>
        <v>0.79935871743486953</v>
      </c>
      <c r="AD165" s="26">
        <f t="shared" si="82"/>
        <v>2.0095321097461535E-4</v>
      </c>
      <c r="AE165" s="27">
        <f t="shared" si="83"/>
        <v>196.34954084936206</v>
      </c>
      <c r="AF165" s="28">
        <f t="shared" si="84"/>
        <v>0.25</v>
      </c>
      <c r="AG165" s="29">
        <f t="shared" si="62"/>
        <v>196.34949905119257</v>
      </c>
      <c r="AH165" s="11"/>
      <c r="AI165" s="26">
        <f t="shared" si="85"/>
        <v>1.3262911924324614E-2</v>
      </c>
      <c r="AJ165" s="27">
        <f t="shared" si="86"/>
        <v>7.0685834705770345</v>
      </c>
      <c r="AK165" s="29">
        <f t="shared" si="87"/>
        <v>0.125</v>
      </c>
      <c r="AL165" s="29">
        <f t="shared" si="88"/>
        <v>7.0564277921160352</v>
      </c>
      <c r="AN165" s="26">
        <f t="shared" si="89"/>
        <v>0.10610329539459691</v>
      </c>
      <c r="AO165" s="27">
        <f t="shared" si="90"/>
        <v>565.48667764616278</v>
      </c>
      <c r="AP165" s="29">
        <f t="shared" si="91"/>
        <v>10</v>
      </c>
      <c r="AQ165" s="29" t="e">
        <f t="shared" si="92"/>
        <v>#N/A</v>
      </c>
      <c r="AS165" s="26">
        <f t="shared" si="93"/>
        <v>1.6076256877969228</v>
      </c>
      <c r="AT165" s="27">
        <f t="shared" si="94"/>
        <v>282.74333882308139</v>
      </c>
      <c r="AU165" s="29">
        <f t="shared" si="95"/>
        <v>5</v>
      </c>
      <c r="AV165" s="29" t="e">
        <f t="shared" si="96"/>
        <v>#N/A</v>
      </c>
      <c r="AX165" s="26">
        <f t="shared" si="97"/>
        <v>0.282189615411162</v>
      </c>
      <c r="AY165" s="27">
        <f t="shared" si="98"/>
        <v>7.0685834705770345</v>
      </c>
      <c r="AZ165" s="29">
        <f t="shared" si="99"/>
        <v>0.125</v>
      </c>
      <c r="BA165" s="29">
        <f t="shared" si="100"/>
        <v>6.7875449580413916</v>
      </c>
    </row>
    <row r="166" spans="26:53" x14ac:dyDescent="0.3">
      <c r="Z166" s="22">
        <v>200000000</v>
      </c>
      <c r="AA166" s="4" cm="1">
        <f t="array" ref="AA166">_xlfn.IFS(AND($C$64="Yes",$C$78="Yes",$C$92="Yes",$C$50="Yes"),1/((1/AG166)+(1/AL166)+(1/AQ166)+(1/AV166)+(1/BA166)),AND($C$64="Yes",$C$78="Yes",$C$92="Yes",$C$50="No"),1/((1/AG166)+(1/AL166)+(1/AQ166)+(1/AV166)),AND($C$64="Yes",$C$78="Yes",$C$92="No",$C$50="No"),1/((1/AG166)+(1/AL166)+(1/AQ166)),AND($C$64="Yes",$C$78="No",$C$92="No",$C$50="No"),1/((1/AG166)+(1/AL166)),AND($C$64="No",$C$78="No",$C$92="No",$C$50="No"),1/((1/AG166)),AND($C$64="Yes",$C$78="No",$C$92="No",$C$50="Yes"),1/((1/AG166)+(1/AL166)+(1/BA166)), AND($C$64="No",$C$78="No",$C$92="No",$C$50="Yes"),1/((1/AG166)+(1/BA166)), AND($C$64="No",$C$78="Yes",$C$92="No",$C$50="Yes"),1/((1/AG166)+(1/AQ166)+(1/BA166)))</f>
        <v>4.5754770343625539</v>
      </c>
      <c r="AB166" s="28">
        <f t="shared" si="101"/>
        <v>0.79935871743486953</v>
      </c>
      <c r="AD166" s="26">
        <f t="shared" si="82"/>
        <v>1.507149082309615E-4</v>
      </c>
      <c r="AE166" s="27">
        <f t="shared" si="83"/>
        <v>261.79938779914943</v>
      </c>
      <c r="AF166" s="28">
        <f t="shared" si="84"/>
        <v>0.25</v>
      </c>
      <c r="AG166" s="29">
        <f t="shared" si="62"/>
        <v>261.79935645049005</v>
      </c>
      <c r="AH166" s="11"/>
      <c r="AI166" s="26">
        <f t="shared" si="85"/>
        <v>9.9471839432434608E-3</v>
      </c>
      <c r="AJ166" s="27">
        <f t="shared" si="86"/>
        <v>9.4247779607693776</v>
      </c>
      <c r="AK166" s="29">
        <f t="shared" si="87"/>
        <v>0.125</v>
      </c>
      <c r="AL166" s="29">
        <f t="shared" si="88"/>
        <v>9.415660548058888</v>
      </c>
      <c r="AN166" s="26">
        <f t="shared" si="89"/>
        <v>7.9577471545947687E-2</v>
      </c>
      <c r="AO166" s="27">
        <f t="shared" si="90"/>
        <v>753.98223686155029</v>
      </c>
      <c r="AP166" s="29">
        <f t="shared" si="91"/>
        <v>10</v>
      </c>
      <c r="AQ166" s="29" t="e">
        <f t="shared" si="92"/>
        <v>#N/A</v>
      </c>
      <c r="AS166" s="26">
        <f t="shared" si="93"/>
        <v>1.2057192658476921</v>
      </c>
      <c r="AT166" s="27">
        <f t="shared" si="94"/>
        <v>376.99111843077515</v>
      </c>
      <c r="AU166" s="29">
        <f t="shared" si="95"/>
        <v>5</v>
      </c>
      <c r="AV166" s="29" t="e">
        <f t="shared" si="96"/>
        <v>#N/A</v>
      </c>
      <c r="AX166" s="26">
        <f t="shared" si="97"/>
        <v>0.21164221155837148</v>
      </c>
      <c r="AY166" s="27">
        <f t="shared" si="98"/>
        <v>9.4247779607693776</v>
      </c>
      <c r="AZ166" s="29">
        <f t="shared" si="99"/>
        <v>0.125</v>
      </c>
      <c r="BA166" s="29">
        <f t="shared" si="100"/>
        <v>9.2139836842372276</v>
      </c>
    </row>
    <row r="167" spans="26:53" x14ac:dyDescent="0.3">
      <c r="Z167" s="44">
        <v>250000000</v>
      </c>
      <c r="AA167" s="4" cm="1">
        <f t="array" ref="AA167">_xlfn.IFS(AND($C$64="Yes",$C$78="Yes",$C$92="Yes",$C$50="Yes"),1/((1/AG167)+(1/AL167)+(1/AQ167)+(1/AV167)+(1/BA167)),AND($C$64="Yes",$C$78="Yes",$C$92="Yes",$C$50="No"),1/((1/AG167)+(1/AL167)+(1/AQ167)+(1/AV167)),AND($C$64="Yes",$C$78="Yes",$C$92="No",$C$50="No"),1/((1/AG167)+(1/AL167)+(1/AQ167)),AND($C$64="Yes",$C$78="No",$C$92="No",$C$50="No"),1/((1/AG167)+(1/AL167)),AND($C$64="No",$C$78="No",$C$92="No",$C$50="No"),1/((1/AG167)),AND($C$64="Yes",$C$78="No",$C$92="No",$C$50="Yes"),1/((1/AG167)+(1/AL167)+(1/BA167)), AND($C$64="No",$C$78="No",$C$92="No",$C$50="Yes"),1/((1/AG167)+(1/BA167)), AND($C$64="No",$C$78="Yes",$C$92="No",$C$50="Yes"),1/((1/AG167)+(1/AQ167)+(1/BA167)))</f>
        <v>5.7436159029942164</v>
      </c>
      <c r="AB167" s="28">
        <f t="shared" si="101"/>
        <v>0.79935871743486953</v>
      </c>
      <c r="AD167" s="26">
        <f t="shared" si="82"/>
        <v>1.2057192658476922E-4</v>
      </c>
      <c r="AE167" s="27">
        <f t="shared" si="83"/>
        <v>327.24923474893683</v>
      </c>
      <c r="AF167" s="28">
        <f t="shared" si="84"/>
        <v>0.25</v>
      </c>
      <c r="AG167" s="29">
        <f t="shared" si="62"/>
        <v>327.24920966999736</v>
      </c>
      <c r="AH167" s="11"/>
      <c r="AI167" s="26">
        <f t="shared" si="85"/>
        <v>7.9577471545947669E-3</v>
      </c>
      <c r="AJ167" s="27">
        <f t="shared" si="86"/>
        <v>11.780972450961725</v>
      </c>
      <c r="AK167" s="29">
        <f t="shared" si="87"/>
        <v>0.125</v>
      </c>
      <c r="AL167" s="29">
        <f t="shared" si="88"/>
        <v>11.773678278943198</v>
      </c>
      <c r="AN167" s="26">
        <f t="shared" si="89"/>
        <v>6.3661977236758135E-2</v>
      </c>
      <c r="AO167" s="27">
        <f t="shared" si="90"/>
        <v>942.47779607693792</v>
      </c>
      <c r="AP167" s="29">
        <f t="shared" si="91"/>
        <v>10</v>
      </c>
      <c r="AQ167" s="29" t="e">
        <f t="shared" si="92"/>
        <v>#N/A</v>
      </c>
      <c r="AS167" s="26">
        <f t="shared" si="93"/>
        <v>0.9645754126781535</v>
      </c>
      <c r="AT167" s="27">
        <f t="shared" si="94"/>
        <v>471.23889803846896</v>
      </c>
      <c r="AU167" s="29">
        <f t="shared" si="95"/>
        <v>5</v>
      </c>
      <c r="AV167" s="29" t="e">
        <f t="shared" si="96"/>
        <v>#N/A</v>
      </c>
      <c r="AX167" s="26">
        <f t="shared" si="97"/>
        <v>0.16931376924669717</v>
      </c>
      <c r="AY167" s="27">
        <f t="shared" si="98"/>
        <v>11.780972450961725</v>
      </c>
      <c r="AZ167" s="29">
        <f t="shared" si="99"/>
        <v>0.125</v>
      </c>
      <c r="BA167" s="29">
        <f t="shared" si="100"/>
        <v>11.612331477384203</v>
      </c>
    </row>
    <row r="168" spans="26:53" x14ac:dyDescent="0.3">
      <c r="Z168" s="22">
        <v>300000000</v>
      </c>
      <c r="AA168" s="4" cm="1">
        <f t="array" ref="AA168">_xlfn.IFS(AND($C$64="Yes",$C$78="Yes",$C$92="Yes",$C$50="Yes"),1/((1/AG168)+(1/AL168)+(1/AQ168)+(1/AV168)+(1/BA168)),AND($C$64="Yes",$C$78="Yes",$C$92="Yes",$C$50="No"),1/((1/AG168)+(1/AL168)+(1/AQ168)+(1/AV168)),AND($C$64="Yes",$C$78="Yes",$C$92="No",$C$50="No"),1/((1/AG168)+(1/AL168)+(1/AQ168)),AND($C$64="Yes",$C$78="No",$C$92="No",$C$50="No"),1/((1/AG168)+(1/AL168)),AND($C$64="No",$C$78="No",$C$92="No",$C$50="No"),1/((1/AG168)),AND($C$64="Yes",$C$78="No",$C$92="No",$C$50="Yes"),1/((1/AG168)+(1/AL168)+(1/BA168)), AND($C$64="No",$C$78="No",$C$92="No",$C$50="Yes"),1/((1/AG168)+(1/BA168)), AND($C$64="No",$C$78="Yes",$C$92="No",$C$50="Yes"),1/((1/AG168)+(1/AQ168)+(1/BA168)))</f>
        <v>6.9080713042134336</v>
      </c>
      <c r="AB168" s="28">
        <f t="shared" si="101"/>
        <v>0.79935871743486953</v>
      </c>
      <c r="AD168" s="26">
        <f t="shared" si="82"/>
        <v>1.0047660548730768E-4</v>
      </c>
      <c r="AE168" s="27">
        <f t="shared" si="83"/>
        <v>392.69908169872411</v>
      </c>
      <c r="AF168" s="28">
        <f t="shared" si="84"/>
        <v>0.25</v>
      </c>
      <c r="AG168" s="29">
        <f t="shared" si="62"/>
        <v>392.69906079960248</v>
      </c>
      <c r="AH168" s="11"/>
      <c r="AI168" s="26">
        <f t="shared" si="85"/>
        <v>6.6314559621623069E-3</v>
      </c>
      <c r="AJ168" s="27">
        <f t="shared" si="86"/>
        <v>14.137166941154069</v>
      </c>
      <c r="AK168" s="29">
        <f t="shared" si="87"/>
        <v>0.125</v>
      </c>
      <c r="AL168" s="29">
        <f t="shared" si="88"/>
        <v>14.131088355051343</v>
      </c>
      <c r="AN168" s="26">
        <f t="shared" si="89"/>
        <v>5.3051647697298455E-2</v>
      </c>
      <c r="AO168" s="27">
        <f t="shared" si="90"/>
        <v>1130.9733552923256</v>
      </c>
      <c r="AP168" s="29">
        <f t="shared" si="91"/>
        <v>10</v>
      </c>
      <c r="AQ168" s="29" t="e">
        <f t="shared" si="92"/>
        <v>#N/A</v>
      </c>
      <c r="AS168" s="26">
        <f t="shared" si="93"/>
        <v>0.80381284389846142</v>
      </c>
      <c r="AT168" s="27">
        <f t="shared" si="94"/>
        <v>565.48667764616278</v>
      </c>
      <c r="AU168" s="29">
        <f t="shared" si="95"/>
        <v>5</v>
      </c>
      <c r="AV168" s="29" t="e">
        <f t="shared" si="96"/>
        <v>#N/A</v>
      </c>
      <c r="AX168" s="26">
        <f t="shared" si="97"/>
        <v>0.141094807705581</v>
      </c>
      <c r="AY168" s="27">
        <f t="shared" si="98"/>
        <v>14.137166941154069</v>
      </c>
      <c r="AZ168" s="29">
        <f t="shared" si="99"/>
        <v>0.125</v>
      </c>
      <c r="BA168" s="29">
        <f t="shared" si="100"/>
        <v>13.996630314639781</v>
      </c>
    </row>
    <row r="169" spans="26:53" x14ac:dyDescent="0.3">
      <c r="Z169" s="44">
        <v>350000000</v>
      </c>
      <c r="AA169" s="4" cm="1">
        <f t="array" ref="AA169">_xlfn.IFS(AND($C$64="Yes",$C$78="Yes",$C$92="Yes",$C$50="Yes"),1/((1/AG169)+(1/AL169)+(1/AQ169)+(1/AV169)+(1/BA169)),AND($C$64="Yes",$C$78="Yes",$C$92="Yes",$C$50="No"),1/((1/AG169)+(1/AL169)+(1/AQ169)+(1/AV169)),AND($C$64="Yes",$C$78="Yes",$C$92="No",$C$50="No"),1/((1/AG169)+(1/AL169)+(1/AQ169)),AND($C$64="Yes",$C$78="No",$C$92="No",$C$50="No"),1/((1/AG169)+(1/AL169)),AND($C$64="No",$C$78="No",$C$92="No",$C$50="No"),1/((1/AG169)),AND($C$64="Yes",$C$78="No",$C$92="No",$C$50="Yes"),1/((1/AG169)+(1/AL169)+(1/BA169)), AND($C$64="No",$C$78="No",$C$92="No",$C$50="Yes"),1/((1/AG169)+(1/BA169)), AND($C$64="No",$C$78="Yes",$C$92="No",$C$50="Yes"),1/((1/AG169)+(1/AQ169)+(1/BA169)))</f>
        <v>8.0704489154479635</v>
      </c>
      <c r="AB169" s="28">
        <f t="shared" si="101"/>
        <v>0.79935871743486953</v>
      </c>
      <c r="AD169" s="26">
        <f t="shared" si="82"/>
        <v>8.6122804703406597E-5</v>
      </c>
      <c r="AE169" s="27">
        <f t="shared" si="83"/>
        <v>458.14892864851146</v>
      </c>
      <c r="AF169" s="28">
        <f t="shared" si="84"/>
        <v>0.25</v>
      </c>
      <c r="AG169" s="29">
        <f t="shared" si="62"/>
        <v>458.1489107349758</v>
      </c>
      <c r="AH169" s="11"/>
      <c r="AI169" s="26">
        <f t="shared" si="85"/>
        <v>5.6841051104248343E-3</v>
      </c>
      <c r="AJ169" s="27">
        <f t="shared" si="86"/>
        <v>16.493361431346411</v>
      </c>
      <c r="AK169" s="29">
        <f t="shared" si="87"/>
        <v>0.125</v>
      </c>
      <c r="AL169" s="29">
        <f t="shared" si="88"/>
        <v>16.488151158152213</v>
      </c>
      <c r="AN169" s="26">
        <f t="shared" si="89"/>
        <v>4.5472840883398674E-2</v>
      </c>
      <c r="AO169" s="27">
        <f t="shared" si="90"/>
        <v>1319.468914507713</v>
      </c>
      <c r="AP169" s="29">
        <f t="shared" si="91"/>
        <v>10</v>
      </c>
      <c r="AQ169" s="29" t="e">
        <f t="shared" si="92"/>
        <v>#N/A</v>
      </c>
      <c r="AS169" s="26">
        <f t="shared" si="93"/>
        <v>0.68898243762725264</v>
      </c>
      <c r="AT169" s="27">
        <f t="shared" si="94"/>
        <v>659.73445725385648</v>
      </c>
      <c r="AU169" s="29">
        <f t="shared" si="95"/>
        <v>5</v>
      </c>
      <c r="AV169" s="29" t="e">
        <f t="shared" si="96"/>
        <v>#N/A</v>
      </c>
      <c r="AX169" s="26">
        <f t="shared" si="97"/>
        <v>0.12093840660478369</v>
      </c>
      <c r="AY169" s="27">
        <f t="shared" si="98"/>
        <v>16.493361431346411</v>
      </c>
      <c r="AZ169" s="29">
        <f t="shared" si="99"/>
        <v>0.125</v>
      </c>
      <c r="BA169" s="29">
        <f t="shared" si="100"/>
        <v>16.372900192118983</v>
      </c>
    </row>
    <row r="170" spans="26:53" x14ac:dyDescent="0.3">
      <c r="Z170" s="22">
        <v>400000000</v>
      </c>
      <c r="AA170" s="4" cm="1">
        <f t="array" ref="AA170">_xlfn.IFS(AND($C$64="Yes",$C$78="Yes",$C$92="Yes",$C$50="Yes"),1/((1/AG170)+(1/AL170)+(1/AQ170)+(1/AV170)+(1/BA170)),AND($C$64="Yes",$C$78="Yes",$C$92="Yes",$C$50="No"),1/((1/AG170)+(1/AL170)+(1/AQ170)+(1/AV170)),AND($C$64="Yes",$C$78="Yes",$C$92="No",$C$50="No"),1/((1/AG170)+(1/AL170)+(1/AQ170)),AND($C$64="Yes",$C$78="No",$C$92="No",$C$50="No"),1/((1/AG170)+(1/AL170)),AND($C$64="No",$C$78="No",$C$92="No",$C$50="No"),1/((1/AG170)),AND($C$64="Yes",$C$78="No",$C$92="No",$C$50="Yes"),1/((1/AG170)+(1/AL170)+(1/BA170)), AND($C$64="No",$C$78="No",$C$92="No",$C$50="Yes"),1/((1/AG170)+(1/BA170)), AND($C$64="No",$C$78="Yes",$C$92="No",$C$50="Yes"),1/((1/AG170)+(1/AQ170)+(1/BA170)))</f>
        <v>9.23153768997261</v>
      </c>
      <c r="AB170" s="28">
        <f t="shared" si="101"/>
        <v>0.79935871743486953</v>
      </c>
      <c r="AD170" s="26">
        <f t="shared" si="82"/>
        <v>7.5357454115480751E-5</v>
      </c>
      <c r="AE170" s="27">
        <f t="shared" si="83"/>
        <v>523.59877559829886</v>
      </c>
      <c r="AF170" s="28">
        <f t="shared" si="84"/>
        <v>0.25</v>
      </c>
      <c r="AG170" s="29">
        <f t="shared" si="62"/>
        <v>523.59875992395359</v>
      </c>
      <c r="AH170" s="11"/>
      <c r="AI170" s="26">
        <f t="shared" si="85"/>
        <v>4.9735919716217304E-3</v>
      </c>
      <c r="AJ170" s="27">
        <f t="shared" si="86"/>
        <v>18.849555921538755</v>
      </c>
      <c r="AK170" s="29">
        <f t="shared" si="87"/>
        <v>0.125</v>
      </c>
      <c r="AL170" s="29">
        <f t="shared" si="88"/>
        <v>18.844996900393319</v>
      </c>
      <c r="AN170" s="26">
        <f t="shared" si="89"/>
        <v>3.9788735772973843E-2</v>
      </c>
      <c r="AO170" s="27">
        <f t="shared" si="90"/>
        <v>1507.9644737231006</v>
      </c>
      <c r="AP170" s="29">
        <f t="shared" si="91"/>
        <v>10</v>
      </c>
      <c r="AQ170" s="29" t="e">
        <f t="shared" si="92"/>
        <v>#N/A</v>
      </c>
      <c r="AS170" s="26">
        <f t="shared" si="93"/>
        <v>0.60285963292384603</v>
      </c>
      <c r="AT170" s="27">
        <f t="shared" si="94"/>
        <v>753.98223686155029</v>
      </c>
      <c r="AU170" s="29">
        <f t="shared" si="95"/>
        <v>5</v>
      </c>
      <c r="AV170" s="29" t="e">
        <f t="shared" si="96"/>
        <v>#N/A</v>
      </c>
      <c r="AX170" s="26">
        <f t="shared" si="97"/>
        <v>0.10582110577918574</v>
      </c>
      <c r="AY170" s="27">
        <f t="shared" si="98"/>
        <v>18.849555921538755</v>
      </c>
      <c r="AZ170" s="29">
        <f t="shared" si="99"/>
        <v>0.125</v>
      </c>
      <c r="BA170" s="29">
        <f t="shared" si="100"/>
        <v>18.744151617064919</v>
      </c>
    </row>
    <row r="171" spans="26:53" x14ac:dyDescent="0.3">
      <c r="Z171" s="44">
        <v>450000000</v>
      </c>
      <c r="AA171" s="4" cm="1">
        <f t="array" ref="AA171">_xlfn.IFS(AND($C$64="Yes",$C$78="Yes",$C$92="Yes",$C$50="Yes"),1/((1/AG171)+(1/AL171)+(1/AQ171)+(1/AV171)+(1/BA171)),AND($C$64="Yes",$C$78="Yes",$C$92="Yes",$C$50="No"),1/((1/AG171)+(1/AL171)+(1/AQ171)+(1/AV171)),AND($C$64="Yes",$C$78="Yes",$C$92="No",$C$50="No"),1/((1/AG171)+(1/AL171)+(1/AQ171)),AND($C$64="Yes",$C$78="No",$C$92="No",$C$50="No"),1/((1/AG171)+(1/AL171)),AND($C$64="No",$C$78="No",$C$92="No",$C$50="No"),1/((1/AG171)),AND($C$64="Yes",$C$78="No",$C$92="No",$C$50="Yes"),1/((1/AG171)+(1/AL171)+(1/BA171)), AND($C$64="No",$C$78="No",$C$92="No",$C$50="Yes"),1/((1/AG171)+(1/BA171)), AND($C$64="No",$C$78="Yes",$C$92="No",$C$50="Yes"),1/((1/AG171)+(1/AQ171)+(1/BA171)))</f>
        <v>10.391771367915016</v>
      </c>
      <c r="AB171" s="28">
        <f t="shared" si="101"/>
        <v>0.79935871743486953</v>
      </c>
      <c r="AD171" s="26">
        <f t="shared" si="82"/>
        <v>6.6984403658205109E-5</v>
      </c>
      <c r="AE171" s="27">
        <f t="shared" si="83"/>
        <v>589.0486225480862</v>
      </c>
      <c r="AF171" s="28">
        <f t="shared" si="84"/>
        <v>0.25</v>
      </c>
      <c r="AG171" s="29">
        <f t="shared" si="62"/>
        <v>589.04860861533382</v>
      </c>
      <c r="AH171" s="11"/>
      <c r="AI171" s="26">
        <f t="shared" si="85"/>
        <v>4.4209706414415368E-3</v>
      </c>
      <c r="AJ171" s="27">
        <f t="shared" si="86"/>
        <v>21.205750411731103</v>
      </c>
      <c r="AK171" s="29">
        <f t="shared" si="87"/>
        <v>0.125</v>
      </c>
      <c r="AL171" s="29">
        <f t="shared" si="88"/>
        <v>21.201697928930486</v>
      </c>
      <c r="AN171" s="26">
        <f t="shared" si="89"/>
        <v>3.5367765131532294E-2</v>
      </c>
      <c r="AO171" s="27">
        <f t="shared" si="90"/>
        <v>1696.4600329384884</v>
      </c>
      <c r="AP171" s="29">
        <f t="shared" si="91"/>
        <v>10</v>
      </c>
      <c r="AQ171" s="29" t="e">
        <f t="shared" si="92"/>
        <v>#N/A</v>
      </c>
      <c r="AS171" s="26">
        <f t="shared" si="93"/>
        <v>0.53587522926564091</v>
      </c>
      <c r="AT171" s="27">
        <f t="shared" si="94"/>
        <v>848.23001646924422</v>
      </c>
      <c r="AU171" s="29">
        <f t="shared" si="95"/>
        <v>5</v>
      </c>
      <c r="AV171" s="29" t="e">
        <f t="shared" si="96"/>
        <v>#N/A</v>
      </c>
      <c r="AX171" s="26">
        <f t="shared" si="97"/>
        <v>9.406320513705399E-2</v>
      </c>
      <c r="AY171" s="27">
        <f t="shared" si="98"/>
        <v>21.205750411731103</v>
      </c>
      <c r="AZ171" s="29">
        <f t="shared" si="99"/>
        <v>0.125</v>
      </c>
      <c r="BA171" s="29">
        <f t="shared" si="100"/>
        <v>21.112057259041972</v>
      </c>
    </row>
    <row r="172" spans="26:53" x14ac:dyDescent="0.3">
      <c r="Z172" s="22">
        <v>500000000</v>
      </c>
      <c r="AA172" s="4" cm="1">
        <f t="array" ref="AA172">_xlfn.IFS(AND($C$64="Yes",$C$78="Yes",$C$92="Yes",$C$50="Yes"),1/((1/AG172)+(1/AL172)+(1/AQ172)+(1/AV172)+(1/BA172)),AND($C$64="Yes",$C$78="Yes",$C$92="Yes",$C$50="No"),1/((1/AG172)+(1/AL172)+(1/AQ172)+(1/AV172)),AND($C$64="Yes",$C$78="Yes",$C$92="No",$C$50="No"),1/((1/AG172)+(1/AL172)+(1/AQ172)),AND($C$64="Yes",$C$78="No",$C$92="No",$C$50="No"),1/((1/AG172)+(1/AL172)),AND($C$64="No",$C$78="No",$C$92="No",$C$50="No"),1/((1/AG172)),AND($C$64="Yes",$C$78="No",$C$92="No",$C$50="Yes"),1/((1/AG172)+(1/AL172)+(1/BA172)), AND($C$64="No",$C$78="No",$C$92="No",$C$50="Yes"),1/((1/AG172)+(1/BA172)), AND($C$64="No",$C$78="Yes",$C$92="No",$C$50="Yes"),1/((1/AG172)+(1/AQ172)+(1/BA172)))</f>
        <v>11.551408427036733</v>
      </c>
      <c r="AB172" s="28">
        <f t="shared" si="101"/>
        <v>0.79935871743486953</v>
      </c>
      <c r="AD172" s="26">
        <f t="shared" si="82"/>
        <v>6.028596329238461E-5</v>
      </c>
      <c r="AE172" s="27">
        <f t="shared" si="83"/>
        <v>654.49846949787366</v>
      </c>
      <c r="AF172" s="28">
        <f t="shared" si="84"/>
        <v>0.25</v>
      </c>
      <c r="AG172" s="29">
        <f t="shared" si="62"/>
        <v>654.49845695839599</v>
      </c>
      <c r="AH172" s="11"/>
      <c r="AI172" s="26">
        <f t="shared" si="85"/>
        <v>3.9788735772973835E-3</v>
      </c>
      <c r="AJ172" s="27">
        <f t="shared" si="86"/>
        <v>23.56194490192345</v>
      </c>
      <c r="AK172" s="29">
        <f t="shared" si="87"/>
        <v>0.125</v>
      </c>
      <c r="AL172" s="29">
        <f t="shared" si="88"/>
        <v>23.558297654811806</v>
      </c>
      <c r="AN172" s="26">
        <f t="shared" si="89"/>
        <v>3.1830988618379068E-2</v>
      </c>
      <c r="AO172" s="27">
        <f t="shared" si="90"/>
        <v>1884.9555921538758</v>
      </c>
      <c r="AP172" s="29">
        <f t="shared" si="91"/>
        <v>10</v>
      </c>
      <c r="AQ172" s="29" t="e">
        <f t="shared" si="92"/>
        <v>#N/A</v>
      </c>
      <c r="AS172" s="26">
        <f t="shared" si="93"/>
        <v>0.48228770633907675</v>
      </c>
      <c r="AT172" s="27">
        <f t="shared" si="94"/>
        <v>942.47779607693792</v>
      </c>
      <c r="AU172" s="29">
        <f t="shared" si="95"/>
        <v>5</v>
      </c>
      <c r="AV172" s="29" t="e">
        <f t="shared" si="96"/>
        <v>#N/A</v>
      </c>
      <c r="AX172" s="26">
        <f t="shared" si="97"/>
        <v>8.4656884623348583E-2</v>
      </c>
      <c r="AY172" s="27">
        <f t="shared" si="98"/>
        <v>23.56194490192345</v>
      </c>
      <c r="AZ172" s="29">
        <f t="shared" si="99"/>
        <v>0.125</v>
      </c>
      <c r="BA172" s="29">
        <f t="shared" si="100"/>
        <v>23.477620783360116</v>
      </c>
    </row>
    <row r="173" spans="26:53" x14ac:dyDescent="0.3">
      <c r="Z173" s="44">
        <v>550000000</v>
      </c>
      <c r="AA173" s="4" cm="1">
        <f t="array" ref="AA173">_xlfn.IFS(AND($C$64="Yes",$C$78="Yes",$C$92="Yes",$C$50="Yes"),1/((1/AG173)+(1/AL173)+(1/AQ173)+(1/AV173)+(1/BA173)),AND($C$64="Yes",$C$78="Yes",$C$92="Yes",$C$50="No"),1/((1/AG173)+(1/AL173)+(1/AQ173)+(1/AV173)),AND($C$64="Yes",$C$78="Yes",$C$92="No",$C$50="No"),1/((1/AG173)+(1/AL173)+(1/AQ173)),AND($C$64="Yes",$C$78="No",$C$92="No",$C$50="No"),1/((1/AG173)+(1/AL173)),AND($C$64="No",$C$78="No",$C$92="No",$C$50="No"),1/((1/AG173)),AND($C$64="Yes",$C$78="No",$C$92="No",$C$50="Yes"),1/((1/AG173)+(1/AL173)+(1/BA173)), AND($C$64="No",$C$78="No",$C$92="No",$C$50="Yes"),1/((1/AG173)+(1/BA173)), AND($C$64="No",$C$78="Yes",$C$92="No",$C$50="Yes"),1/((1/AG173)+(1/AQ173)+(1/BA173)))</f>
        <v>12.710612583893409</v>
      </c>
      <c r="AB173" s="28">
        <f t="shared" si="101"/>
        <v>0.79935871743486953</v>
      </c>
      <c r="AD173" s="26">
        <f t="shared" si="82"/>
        <v>5.4805421174895085E-5</v>
      </c>
      <c r="AE173" s="27">
        <f t="shared" si="83"/>
        <v>719.94831644766089</v>
      </c>
      <c r="AF173" s="28">
        <f t="shared" si="84"/>
        <v>0.25</v>
      </c>
      <c r="AG173" s="29">
        <f t="shared" si="62"/>
        <v>719.94830504813524</v>
      </c>
      <c r="AH173" s="11"/>
      <c r="AI173" s="26">
        <f t="shared" si="85"/>
        <v>3.6171577975430765E-3</v>
      </c>
      <c r="AJ173" s="27">
        <f t="shared" si="86"/>
        <v>25.918139392115794</v>
      </c>
      <c r="AK173" s="29">
        <f t="shared" si="87"/>
        <v>0.125</v>
      </c>
      <c r="AL173" s="29">
        <f t="shared" si="88"/>
        <v>25.91482370445485</v>
      </c>
      <c r="AN173" s="26">
        <f t="shared" si="89"/>
        <v>2.8937262380344612E-2</v>
      </c>
      <c r="AO173" s="27">
        <f t="shared" si="90"/>
        <v>2073.4511513692632</v>
      </c>
      <c r="AP173" s="29">
        <f t="shared" si="91"/>
        <v>10</v>
      </c>
      <c r="AQ173" s="29" t="e">
        <f t="shared" si="92"/>
        <v>#N/A</v>
      </c>
      <c r="AS173" s="26">
        <f t="shared" si="93"/>
        <v>0.43844336939916079</v>
      </c>
      <c r="AT173" s="27">
        <f t="shared" si="94"/>
        <v>1036.7255756846316</v>
      </c>
      <c r="AU173" s="29">
        <f t="shared" si="95"/>
        <v>5</v>
      </c>
      <c r="AV173" s="29" t="e">
        <f t="shared" si="96"/>
        <v>#N/A</v>
      </c>
      <c r="AX173" s="26">
        <f t="shared" si="97"/>
        <v>7.6960804203044172E-2</v>
      </c>
      <c r="AY173" s="27">
        <f t="shared" si="98"/>
        <v>25.918139392115794</v>
      </c>
      <c r="AZ173" s="29">
        <f t="shared" si="99"/>
        <v>0.125</v>
      </c>
      <c r="BA173" s="29">
        <f t="shared" si="100"/>
        <v>25.841480913686048</v>
      </c>
    </row>
    <row r="174" spans="26:53" x14ac:dyDescent="0.3">
      <c r="Z174" s="22">
        <v>600000000</v>
      </c>
      <c r="AA174" s="4" cm="1">
        <f t="array" ref="AA174">_xlfn.IFS(AND($C$64="Yes",$C$78="Yes",$C$92="Yes",$C$50="Yes"),1/((1/AG174)+(1/AL174)+(1/AQ174)+(1/AV174)+(1/BA174)),AND($C$64="Yes",$C$78="Yes",$C$92="Yes",$C$50="No"),1/((1/AG174)+(1/AL174)+(1/AQ174)+(1/AV174)),AND($C$64="Yes",$C$78="Yes",$C$92="No",$C$50="No"),1/((1/AG174)+(1/AL174)+(1/AQ174)),AND($C$64="Yes",$C$78="No",$C$92="No",$C$50="No"),1/((1/AG174)+(1/AL174)),AND($C$64="No",$C$78="No",$C$92="No",$C$50="No"),1/((1/AG174)),AND($C$64="Yes",$C$78="No",$C$92="No",$C$50="Yes"),1/((1/AG174)+(1/AL174)+(1/BA174)), AND($C$64="No",$C$78="No",$C$92="No",$C$50="Yes"),1/((1/AG174)+(1/BA174)), AND($C$64="No",$C$78="Yes",$C$92="No",$C$50="Yes"),1/((1/AG174)+(1/AQ174)+(1/BA174)))</f>
        <v>13.869492615719462</v>
      </c>
      <c r="AB174" s="28">
        <f t="shared" si="101"/>
        <v>0.79935871743486953</v>
      </c>
      <c r="AD174" s="26">
        <f t="shared" si="82"/>
        <v>5.0238302743653838E-5</v>
      </c>
      <c r="AE174" s="27">
        <f t="shared" si="83"/>
        <v>785.39816339744823</v>
      </c>
      <c r="AF174" s="28">
        <f t="shared" si="84"/>
        <v>0.25</v>
      </c>
      <c r="AG174" s="29">
        <f t="shared" si="62"/>
        <v>785.39815294788286</v>
      </c>
      <c r="AH174" s="11"/>
      <c r="AI174" s="26">
        <f t="shared" si="85"/>
        <v>3.3157279810811535E-3</v>
      </c>
      <c r="AJ174" s="27">
        <f t="shared" si="86"/>
        <v>28.274333882308138</v>
      </c>
      <c r="AK174" s="29">
        <f t="shared" si="87"/>
        <v>0.125</v>
      </c>
      <c r="AL174" s="29">
        <f t="shared" si="88"/>
        <v>28.271294496048284</v>
      </c>
      <c r="AN174" s="26">
        <f t="shared" si="89"/>
        <v>2.6525823848649228E-2</v>
      </c>
      <c r="AO174" s="27">
        <f t="shared" si="90"/>
        <v>2261.9467105846511</v>
      </c>
      <c r="AP174" s="29">
        <f t="shared" si="91"/>
        <v>10</v>
      </c>
      <c r="AQ174" s="29" t="e">
        <f t="shared" si="92"/>
        <v>#N/A</v>
      </c>
      <c r="AS174" s="26">
        <f t="shared" si="93"/>
        <v>0.40190642194923071</v>
      </c>
      <c r="AT174" s="27">
        <f t="shared" si="94"/>
        <v>1130.9733552923256</v>
      </c>
      <c r="AU174" s="29">
        <f t="shared" si="95"/>
        <v>5</v>
      </c>
      <c r="AV174" s="29" t="e">
        <f t="shared" si="96"/>
        <v>#N/A</v>
      </c>
      <c r="AX174" s="26">
        <f t="shared" si="97"/>
        <v>7.05474038527905E-2</v>
      </c>
      <c r="AY174" s="27">
        <f t="shared" si="98"/>
        <v>28.274333882308138</v>
      </c>
      <c r="AZ174" s="29">
        <f t="shared" si="99"/>
        <v>0.125</v>
      </c>
      <c r="BA174" s="29">
        <f t="shared" si="100"/>
        <v>28.204063478908509</v>
      </c>
    </row>
    <row r="175" spans="26:53" x14ac:dyDescent="0.3">
      <c r="Z175" s="44">
        <v>650000000</v>
      </c>
      <c r="AA175" s="4" cm="1">
        <f t="array" ref="AA175">_xlfn.IFS(AND($C$64="Yes",$C$78="Yes",$C$92="Yes",$C$50="Yes"),1/((1/AG175)+(1/AL175)+(1/AQ175)+(1/AV175)+(1/BA175)),AND($C$64="Yes",$C$78="Yes",$C$92="Yes",$C$50="No"),1/((1/AG175)+(1/AL175)+(1/AQ175)+(1/AV175)),AND($C$64="Yes",$C$78="Yes",$C$92="No",$C$50="No"),1/((1/AG175)+(1/AL175)+(1/AQ175)),AND($C$64="Yes",$C$78="No",$C$92="No",$C$50="No"),1/((1/AG175)+(1/AL175)),AND($C$64="No",$C$78="No",$C$92="No",$C$50="No"),1/((1/AG175)),AND($C$64="Yes",$C$78="No",$C$92="No",$C$50="Yes"),1/((1/AG175)+(1/AL175)+(1/BA175)), AND($C$64="No",$C$78="No",$C$92="No",$C$50="Yes"),1/((1/AG175)+(1/BA175)), AND($C$64="No",$C$78="Yes",$C$92="No",$C$50="Yes"),1/((1/AG175)+(1/AQ175)+(1/BA175)))</f>
        <v>15.028123641392774</v>
      </c>
      <c r="AB175" s="28">
        <f t="shared" si="101"/>
        <v>0.79935871743486953</v>
      </c>
      <c r="AD175" s="26">
        <f t="shared" si="82"/>
        <v>4.6373817917218924E-5</v>
      </c>
      <c r="AE175" s="27">
        <f t="shared" si="83"/>
        <v>850.84801034723569</v>
      </c>
      <c r="AF175" s="28">
        <f t="shared" si="84"/>
        <v>0.25</v>
      </c>
      <c r="AG175" s="29">
        <f t="shared" ref="AG175:AG182" si="102">SQRT(AF175^(2)+ABS(AD175-AE175)^(2))</f>
        <v>850.84800070148276</v>
      </c>
      <c r="AH175" s="11"/>
      <c r="AI175" s="26">
        <f t="shared" si="85"/>
        <v>3.0606719825364485E-3</v>
      </c>
      <c r="AJ175" s="27">
        <f t="shared" si="86"/>
        <v>30.630528372500482</v>
      </c>
      <c r="AK175" s="29">
        <f t="shared" si="87"/>
        <v>0.125</v>
      </c>
      <c r="AL175" s="29">
        <f t="shared" si="88"/>
        <v>30.627722780942598</v>
      </c>
      <c r="AN175" s="26">
        <f t="shared" si="89"/>
        <v>2.4485375860291588E-2</v>
      </c>
      <c r="AO175" s="27">
        <f t="shared" si="90"/>
        <v>2450.4422698000385</v>
      </c>
      <c r="AP175" s="29">
        <f t="shared" si="91"/>
        <v>10</v>
      </c>
      <c r="AQ175" s="29" t="e">
        <f t="shared" si="92"/>
        <v>#N/A</v>
      </c>
      <c r="AS175" s="26">
        <f t="shared" si="93"/>
        <v>0.37099054333775133</v>
      </c>
      <c r="AT175" s="27">
        <f t="shared" si="94"/>
        <v>1225.2211349000193</v>
      </c>
      <c r="AU175" s="29">
        <f t="shared" si="95"/>
        <v>5</v>
      </c>
      <c r="AV175" s="29" t="e">
        <f t="shared" si="96"/>
        <v>#N/A</v>
      </c>
      <c r="AX175" s="26">
        <f t="shared" si="97"/>
        <v>6.5120680479498913E-2</v>
      </c>
      <c r="AY175" s="27">
        <f t="shared" si="98"/>
        <v>30.630528372500482</v>
      </c>
      <c r="AZ175" s="29">
        <f t="shared" si="99"/>
        <v>0.125</v>
      </c>
      <c r="BA175" s="29">
        <f t="shared" si="100"/>
        <v>30.565663290356639</v>
      </c>
    </row>
    <row r="176" spans="26:53" x14ac:dyDescent="0.3">
      <c r="Z176" s="22">
        <v>700000000</v>
      </c>
      <c r="AA176" s="4" cm="1">
        <f t="array" ref="AA176">_xlfn.IFS(AND($C$64="Yes",$C$78="Yes",$C$92="Yes",$C$50="Yes"),1/((1/AG176)+(1/AL176)+(1/AQ176)+(1/AV176)+(1/BA176)),AND($C$64="Yes",$C$78="Yes",$C$92="Yes",$C$50="No"),1/((1/AG176)+(1/AL176)+(1/AQ176)+(1/AV176)),AND($C$64="Yes",$C$78="Yes",$C$92="No",$C$50="No"),1/((1/AG176)+(1/AL176)+(1/AQ176)),AND($C$64="Yes",$C$78="No",$C$92="No",$C$50="No"),1/((1/AG176)+(1/AL176)),AND($C$64="No",$C$78="No",$C$92="No",$C$50="No"),1/((1/AG176)),AND($C$64="Yes",$C$78="No",$C$92="No",$C$50="Yes"),1/((1/AG176)+(1/AL176)+(1/BA176)), AND($C$64="No",$C$78="No",$C$92="No",$C$50="Yes"),1/((1/AG176)+(1/BA176)), AND($C$64="No",$C$78="Yes",$C$92="No",$C$50="Yes"),1/((1/AG176)+(1/AQ176)+(1/BA176)))</f>
        <v>16.186559214614586</v>
      </c>
      <c r="AB176" s="28">
        <f t="shared" si="101"/>
        <v>0.79935871743486953</v>
      </c>
      <c r="AD176" s="26">
        <f t="shared" si="82"/>
        <v>4.3061402351703299E-5</v>
      </c>
      <c r="AE176" s="27">
        <f t="shared" si="83"/>
        <v>916.29785729702292</v>
      </c>
      <c r="AF176" s="28">
        <f t="shared" si="84"/>
        <v>0.25</v>
      </c>
      <c r="AG176" s="29">
        <f t="shared" si="102"/>
        <v>916.29784834025213</v>
      </c>
      <c r="AH176" s="11"/>
      <c r="AI176" s="26">
        <f t="shared" si="85"/>
        <v>2.8420525552124171E-3</v>
      </c>
      <c r="AJ176" s="27">
        <f t="shared" si="86"/>
        <v>32.986722862692822</v>
      </c>
      <c r="AK176" s="29">
        <f t="shared" si="87"/>
        <v>0.125</v>
      </c>
      <c r="AL176" s="29">
        <f t="shared" si="88"/>
        <v>32.984117667407205</v>
      </c>
      <c r="AN176" s="26">
        <f t="shared" si="89"/>
        <v>2.2736420441699337E-2</v>
      </c>
      <c r="AO176" s="27">
        <f t="shared" si="90"/>
        <v>2638.9378290154259</v>
      </c>
      <c r="AP176" s="29">
        <f t="shared" si="91"/>
        <v>10</v>
      </c>
      <c r="AQ176" s="29" t="e">
        <f t="shared" si="92"/>
        <v>#N/A</v>
      </c>
      <c r="AS176" s="26">
        <f t="shared" si="93"/>
        <v>0.34449121881362632</v>
      </c>
      <c r="AT176" s="27">
        <f t="shared" si="94"/>
        <v>1319.468914507713</v>
      </c>
      <c r="AU176" s="29">
        <f t="shared" si="95"/>
        <v>5</v>
      </c>
      <c r="AV176" s="29" t="e">
        <f t="shared" si="96"/>
        <v>#N/A</v>
      </c>
      <c r="AX176" s="26">
        <f t="shared" si="97"/>
        <v>6.0469203302391847E-2</v>
      </c>
      <c r="AY176" s="27">
        <f t="shared" si="98"/>
        <v>32.986722862692822</v>
      </c>
      <c r="AZ176" s="29">
        <f t="shared" si="99"/>
        <v>0.125</v>
      </c>
      <c r="BA176" s="29">
        <f t="shared" si="100"/>
        <v>32.926490931201918</v>
      </c>
    </row>
    <row r="177" spans="26:53" x14ac:dyDescent="0.3">
      <c r="Z177" s="44">
        <v>750000000</v>
      </c>
      <c r="AA177" s="4" cm="1">
        <f t="array" ref="AA177">_xlfn.IFS(AND($C$64="Yes",$C$78="Yes",$C$92="Yes",$C$50="Yes"),1/((1/AG177)+(1/AL177)+(1/AQ177)+(1/AV177)+(1/BA177)),AND($C$64="Yes",$C$78="Yes",$C$92="Yes",$C$50="No"),1/((1/AG177)+(1/AL177)+(1/AQ177)+(1/AV177)),AND($C$64="Yes",$C$78="Yes",$C$92="No",$C$50="No"),1/((1/AG177)+(1/AL177)+(1/AQ177)),AND($C$64="Yes",$C$78="No",$C$92="No",$C$50="No"),1/((1/AG177)+(1/AL177)),AND($C$64="No",$C$78="No",$C$92="No",$C$50="No"),1/((1/AG177)),AND($C$64="Yes",$C$78="No",$C$92="No",$C$50="Yes"),1/((1/AG177)+(1/AL177)+(1/BA177)), AND($C$64="No",$C$78="No",$C$92="No",$C$50="Yes"),1/((1/AG177)+(1/BA177)), AND($C$64="No",$C$78="Yes",$C$92="No",$C$50="Yes"),1/((1/AG177)+(1/AQ177)+(1/BA177)))</f>
        <v>17.344838549355302</v>
      </c>
      <c r="AB177" s="28">
        <f t="shared" si="101"/>
        <v>0.79935871743486953</v>
      </c>
      <c r="AD177" s="26">
        <f t="shared" si="82"/>
        <v>4.0190642194923073E-5</v>
      </c>
      <c r="AE177" s="27">
        <f t="shared" si="83"/>
        <v>981.74770424681037</v>
      </c>
      <c r="AF177" s="28">
        <f t="shared" si="84"/>
        <v>0.25</v>
      </c>
      <c r="AG177" s="29">
        <f t="shared" si="102"/>
        <v>981.74769588715765</v>
      </c>
      <c r="AH177" s="11"/>
      <c r="AI177" s="26">
        <f t="shared" si="85"/>
        <v>2.6525823848649226E-3</v>
      </c>
      <c r="AJ177" s="27">
        <f t="shared" si="86"/>
        <v>35.342917352885166</v>
      </c>
      <c r="AK177" s="29">
        <f t="shared" si="87"/>
        <v>0.125</v>
      </c>
      <c r="AL177" s="29">
        <f t="shared" si="88"/>
        <v>35.340485834932508</v>
      </c>
      <c r="AN177" s="26">
        <f t="shared" si="89"/>
        <v>2.1220659078919381E-2</v>
      </c>
      <c r="AO177" s="27">
        <f t="shared" si="90"/>
        <v>2827.4333882308133</v>
      </c>
      <c r="AP177" s="29">
        <f t="shared" si="91"/>
        <v>10</v>
      </c>
      <c r="AQ177" s="29" t="e">
        <f t="shared" si="92"/>
        <v>#N/A</v>
      </c>
      <c r="AS177" s="26">
        <f t="shared" si="93"/>
        <v>0.32152513755938456</v>
      </c>
      <c r="AT177" s="27">
        <f t="shared" si="94"/>
        <v>1413.7166941154067</v>
      </c>
      <c r="AU177" s="29">
        <f t="shared" si="95"/>
        <v>5</v>
      </c>
      <c r="AV177" s="29" t="e">
        <f t="shared" si="96"/>
        <v>#N/A</v>
      </c>
      <c r="AX177" s="26">
        <f t="shared" si="97"/>
        <v>5.6437923082232389E-2</v>
      </c>
      <c r="AY177" s="27">
        <f t="shared" si="98"/>
        <v>35.342917352885166</v>
      </c>
      <c r="AZ177" s="29">
        <f t="shared" si="99"/>
        <v>0.125</v>
      </c>
      <c r="BA177" s="29">
        <f t="shared" si="100"/>
        <v>35.286700831190004</v>
      </c>
    </row>
    <row r="178" spans="26:53" x14ac:dyDescent="0.3">
      <c r="Z178" s="22">
        <v>800000000</v>
      </c>
      <c r="AA178" s="4" cm="1">
        <f t="array" ref="AA178">_xlfn.IFS(AND($C$64="Yes",$C$78="Yes",$C$92="Yes",$C$50="Yes"),1/((1/AG178)+(1/AL178)+(1/AQ178)+(1/AV178)+(1/BA178)),AND($C$64="Yes",$C$78="Yes",$C$92="Yes",$C$50="No"),1/((1/AG178)+(1/AL178)+(1/AQ178)+(1/AV178)),AND($C$64="Yes",$C$78="Yes",$C$92="No",$C$50="No"),1/((1/AG178)+(1/AL178)+(1/AQ178)),AND($C$64="Yes",$C$78="No",$C$92="No",$C$50="No"),1/((1/AG178)+(1/AL178)),AND($C$64="No",$C$78="No",$C$92="No",$C$50="No"),1/((1/AG178)),AND($C$64="Yes",$C$78="No",$C$92="No",$C$50="Yes"),1/((1/AG178)+(1/AL178)+(1/BA178)), AND($C$64="No",$C$78="No",$C$92="No",$C$50="Yes"),1/((1/AG178)+(1/BA178)), AND($C$64="No",$C$78="Yes",$C$92="No",$C$50="Yes"),1/((1/AG178)+(1/AQ178)+(1/BA178)))</f>
        <v>18.502991021032958</v>
      </c>
      <c r="AB178" s="28">
        <f t="shared" si="101"/>
        <v>0.79935871743486953</v>
      </c>
      <c r="AD178" s="26">
        <f t="shared" si="82"/>
        <v>3.7678727057740375E-5</v>
      </c>
      <c r="AE178" s="27">
        <f t="shared" si="83"/>
        <v>1047.1975511965977</v>
      </c>
      <c r="AF178" s="28">
        <f t="shared" si="84"/>
        <v>0.25</v>
      </c>
      <c r="AG178" s="29">
        <f t="shared" si="102"/>
        <v>1047.1975433594232</v>
      </c>
      <c r="AH178" s="11"/>
      <c r="AI178" s="26">
        <f t="shared" si="85"/>
        <v>2.4867959858108652E-3</v>
      </c>
      <c r="AJ178" s="27">
        <f t="shared" si="86"/>
        <v>37.69911184307751</v>
      </c>
      <c r="AK178" s="29">
        <f t="shared" si="87"/>
        <v>0.125</v>
      </c>
      <c r="AL178" s="29">
        <f t="shared" si="88"/>
        <v>37.696832293191711</v>
      </c>
      <c r="AN178" s="26">
        <f t="shared" si="89"/>
        <v>1.9894367886486922E-2</v>
      </c>
      <c r="AO178" s="27">
        <f t="shared" si="90"/>
        <v>3015.9289474462012</v>
      </c>
      <c r="AP178" s="29">
        <f t="shared" si="91"/>
        <v>10</v>
      </c>
      <c r="AQ178" s="29" t="e">
        <f t="shared" si="92"/>
        <v>#N/A</v>
      </c>
      <c r="AS178" s="26">
        <f t="shared" si="93"/>
        <v>0.30142981646192302</v>
      </c>
      <c r="AT178" s="27">
        <f t="shared" si="94"/>
        <v>1507.9644737231006</v>
      </c>
      <c r="AU178" s="29">
        <f t="shared" si="95"/>
        <v>5</v>
      </c>
      <c r="AV178" s="29" t="e">
        <f t="shared" si="96"/>
        <v>#N/A</v>
      </c>
      <c r="AX178" s="26">
        <f t="shared" si="97"/>
        <v>5.2910552889592871E-2</v>
      </c>
      <c r="AY178" s="27">
        <f t="shared" si="98"/>
        <v>37.69911184307751</v>
      </c>
      <c r="AZ178" s="29">
        <f t="shared" si="99"/>
        <v>0.125</v>
      </c>
      <c r="BA178" s="29">
        <f t="shared" si="100"/>
        <v>37.646408813874217</v>
      </c>
    </row>
    <row r="179" spans="26:53" x14ac:dyDescent="0.3">
      <c r="Z179" s="44">
        <v>850000000</v>
      </c>
      <c r="AA179" s="4" cm="1">
        <f t="array" ref="AA179">_xlfn.IFS(AND($C$64="Yes",$C$78="Yes",$C$92="Yes",$C$50="Yes"),1/((1/AG179)+(1/AL179)+(1/AQ179)+(1/AV179)+(1/BA179)),AND($C$64="Yes",$C$78="Yes",$C$92="Yes",$C$50="No"),1/((1/AG179)+(1/AL179)+(1/AQ179)+(1/AV179)),AND($C$64="Yes",$C$78="Yes",$C$92="No",$C$50="No"),1/((1/AG179)+(1/AL179)+(1/AQ179)),AND($C$64="Yes",$C$78="No",$C$92="No",$C$50="No"),1/((1/AG179)+(1/AL179)),AND($C$64="No",$C$78="No",$C$92="No",$C$50="No"),1/((1/AG179)),AND($C$64="Yes",$C$78="No",$C$92="No",$C$50="Yes"),1/((1/AG179)+(1/AL179)+(1/BA179)), AND($C$64="No",$C$78="No",$C$92="No",$C$50="Yes"),1/((1/AG179)+(1/BA179)), AND($C$64="No",$C$78="Yes",$C$92="No",$C$50="Yes"),1/((1/AG179)+(1/AQ179)+(1/BA179)))</f>
        <v>19.661039071511695</v>
      </c>
      <c r="AB179" s="28">
        <f t="shared" si="101"/>
        <v>0.79935871743486953</v>
      </c>
      <c r="AD179" s="26">
        <f t="shared" si="82"/>
        <v>3.5462331348461534E-5</v>
      </c>
      <c r="AE179" s="27">
        <f t="shared" si="83"/>
        <v>1112.6473981463851</v>
      </c>
      <c r="AF179" s="28">
        <f t="shared" si="84"/>
        <v>0.25</v>
      </c>
      <c r="AG179" s="29">
        <f t="shared" si="102"/>
        <v>1112.6473907702207</v>
      </c>
      <c r="AH179" s="11"/>
      <c r="AI179" s="26">
        <f t="shared" si="85"/>
        <v>2.3405138689984607E-3</v>
      </c>
      <c r="AJ179" s="27">
        <f t="shared" si="86"/>
        <v>40.055306333269861</v>
      </c>
      <c r="AK179" s="29">
        <f t="shared" si="87"/>
        <v>0.125</v>
      </c>
      <c r="AL179" s="29">
        <f t="shared" si="88"/>
        <v>40.05316087314575</v>
      </c>
      <c r="AN179" s="26">
        <f t="shared" si="89"/>
        <v>1.8724110951987685E-2</v>
      </c>
      <c r="AO179" s="27">
        <f t="shared" si="90"/>
        <v>3204.424506661589</v>
      </c>
      <c r="AP179" s="29">
        <f t="shared" si="91"/>
        <v>10</v>
      </c>
      <c r="AQ179" s="29" t="e">
        <f t="shared" si="92"/>
        <v>#N/A</v>
      </c>
      <c r="AS179" s="26">
        <f t="shared" si="93"/>
        <v>0.28369865078769224</v>
      </c>
      <c r="AT179" s="27">
        <f t="shared" si="94"/>
        <v>1602.2122533307945</v>
      </c>
      <c r="AU179" s="29">
        <f t="shared" si="95"/>
        <v>5</v>
      </c>
      <c r="AV179" s="29" t="e">
        <f t="shared" si="96"/>
        <v>#N/A</v>
      </c>
      <c r="AX179" s="26">
        <f t="shared" si="97"/>
        <v>4.9798167425499161E-2</v>
      </c>
      <c r="AY179" s="27">
        <f t="shared" si="98"/>
        <v>40.055306333269861</v>
      </c>
      <c r="AZ179" s="29">
        <f t="shared" si="99"/>
        <v>0.125</v>
      </c>
      <c r="BA179" s="29">
        <f t="shared" si="100"/>
        <v>40.005703450976085</v>
      </c>
    </row>
    <row r="180" spans="26:53" x14ac:dyDescent="0.3">
      <c r="Z180" s="22">
        <v>900000000</v>
      </c>
      <c r="AA180" s="4" cm="1">
        <f t="array" ref="AA180">_xlfn.IFS(AND($C$64="Yes",$C$78="Yes",$C$92="Yes",$C$50="Yes"),1/((1/AG180)+(1/AL180)+(1/AQ180)+(1/AV180)+(1/BA180)),AND($C$64="Yes",$C$78="Yes",$C$92="Yes",$C$50="No"),1/((1/AG180)+(1/AL180)+(1/AQ180)+(1/AV180)),AND($C$64="Yes",$C$78="Yes",$C$92="No",$C$50="No"),1/((1/AG180)+(1/AL180)+(1/AQ180)),AND($C$64="Yes",$C$78="No",$C$92="No",$C$50="No"),1/((1/AG180)+(1/AL180)),AND($C$64="No",$C$78="No",$C$92="No",$C$50="No"),1/((1/AG180)),AND($C$64="Yes",$C$78="No",$C$92="No",$C$50="Yes"),1/((1/AG180)+(1/AL180)+(1/BA180)), AND($C$64="No",$C$78="No",$C$92="No",$C$50="Yes"),1/((1/AG180)+(1/BA180)), AND($C$64="No",$C$78="Yes",$C$92="No",$C$50="Yes"),1/((1/AG180)+(1/AQ180)+(1/BA180)))</f>
        <v>20.819000141729454</v>
      </c>
      <c r="AB180" s="28">
        <f t="shared" si="101"/>
        <v>0.79935871743486953</v>
      </c>
      <c r="AD180" s="26">
        <f t="shared" si="82"/>
        <v>3.3492201829102554E-5</v>
      </c>
      <c r="AE180" s="27">
        <f t="shared" si="83"/>
        <v>1178.0972450961724</v>
      </c>
      <c r="AF180" s="28">
        <f t="shared" si="84"/>
        <v>0.25</v>
      </c>
      <c r="AG180" s="29">
        <f t="shared" si="102"/>
        <v>1178.097238129795</v>
      </c>
      <c r="AH180" s="11"/>
      <c r="AI180" s="26">
        <f t="shared" si="85"/>
        <v>2.2104853207207684E-3</v>
      </c>
      <c r="AJ180" s="27">
        <f t="shared" si="86"/>
        <v>42.411500823462205</v>
      </c>
      <c r="AK180" s="29">
        <f t="shared" si="87"/>
        <v>0.125</v>
      </c>
      <c r="AL180" s="29">
        <f t="shared" si="88"/>
        <v>42.409474554452814</v>
      </c>
      <c r="AN180" s="26">
        <f t="shared" si="89"/>
        <v>1.7683882565766147E-2</v>
      </c>
      <c r="AO180" s="27">
        <f t="shared" si="90"/>
        <v>3392.9200658769769</v>
      </c>
      <c r="AP180" s="29">
        <f t="shared" si="91"/>
        <v>10</v>
      </c>
      <c r="AQ180" s="29" t="e">
        <f t="shared" si="92"/>
        <v>#N/A</v>
      </c>
      <c r="AS180" s="26">
        <f t="shared" si="93"/>
        <v>0.26793761463282045</v>
      </c>
      <c r="AT180" s="27">
        <f t="shared" si="94"/>
        <v>1696.4600329384884</v>
      </c>
      <c r="AU180" s="29">
        <f t="shared" si="95"/>
        <v>5</v>
      </c>
      <c r="AV180" s="29" t="e">
        <f t="shared" si="96"/>
        <v>#N/A</v>
      </c>
      <c r="AX180" s="26">
        <f t="shared" si="97"/>
        <v>4.7031602568526995E-2</v>
      </c>
      <c r="AY180" s="27">
        <f t="shared" si="98"/>
        <v>42.411500823462205</v>
      </c>
      <c r="AZ180" s="29">
        <f t="shared" si="99"/>
        <v>0.125</v>
      </c>
      <c r="BA180" s="29">
        <f t="shared" si="100"/>
        <v>42.364653632102886</v>
      </c>
    </row>
    <row r="181" spans="26:53" x14ac:dyDescent="0.3">
      <c r="Z181" s="44">
        <v>950000000</v>
      </c>
      <c r="AA181" s="4" cm="1">
        <f t="array" ref="AA181">_xlfn.IFS(AND($C$64="Yes",$C$78="Yes",$C$92="Yes",$C$50="Yes"),1/((1/AG181)+(1/AL181)+(1/AQ181)+(1/AV181)+(1/BA181)),AND($C$64="Yes",$C$78="Yes",$C$92="Yes",$C$50="No"),1/((1/AG181)+(1/AL181)+(1/AQ181)+(1/AV181)),AND($C$64="Yes",$C$78="Yes",$C$92="No",$C$50="No"),1/((1/AG181)+(1/AL181)+(1/AQ181)),AND($C$64="Yes",$C$78="No",$C$92="No",$C$50="No"),1/((1/AG181)+(1/AL181)),AND($C$64="No",$C$78="No",$C$92="No",$C$50="No"),1/((1/AG181)),AND($C$64="Yes",$C$78="No",$C$92="No",$C$50="Yes"),1/((1/AG181)+(1/AL181)+(1/BA181)), AND($C$64="No",$C$78="No",$C$92="No",$C$50="Yes"),1/((1/AG181)+(1/BA181)), AND($C$64="No",$C$78="Yes",$C$92="No",$C$50="Yes"),1/((1/AG181)+(1/AQ181)+(1/BA181)))</f>
        <v>21.976887991765167</v>
      </c>
      <c r="AB181" s="28">
        <f t="shared" si="101"/>
        <v>0.79935871743486953</v>
      </c>
      <c r="AD181" s="26">
        <f t="shared" si="82"/>
        <v>3.1729454364412943E-5</v>
      </c>
      <c r="AE181" s="27">
        <f t="shared" si="83"/>
        <v>1243.54709204596</v>
      </c>
      <c r="AF181" s="28">
        <f t="shared" si="84"/>
        <v>0.25</v>
      </c>
      <c r="AG181" s="29">
        <f t="shared" si="102"/>
        <v>1243.547085446234</v>
      </c>
      <c r="AH181" s="11"/>
      <c r="AI181" s="26">
        <f t="shared" si="85"/>
        <v>2.0941439880512547E-3</v>
      </c>
      <c r="AJ181" s="27">
        <f t="shared" si="86"/>
        <v>44.767695313654556</v>
      </c>
      <c r="AK181" s="29">
        <f t="shared" si="87"/>
        <v>0.125</v>
      </c>
      <c r="AL181" s="29">
        <f t="shared" si="88"/>
        <v>44.765775689489033</v>
      </c>
      <c r="AN181" s="26">
        <f t="shared" si="89"/>
        <v>1.6753151904410037E-2</v>
      </c>
      <c r="AO181" s="27">
        <f t="shared" si="90"/>
        <v>3581.4156250923643</v>
      </c>
      <c r="AP181" s="29">
        <f t="shared" si="91"/>
        <v>10</v>
      </c>
      <c r="AQ181" s="29" t="e">
        <f t="shared" si="92"/>
        <v>#N/A</v>
      </c>
      <c r="AS181" s="26">
        <f t="shared" si="93"/>
        <v>0.25383563491530353</v>
      </c>
      <c r="AT181" s="27">
        <f t="shared" si="94"/>
        <v>1790.7078125461821</v>
      </c>
      <c r="AU181" s="29">
        <f t="shared" si="95"/>
        <v>5</v>
      </c>
      <c r="AV181" s="29" t="e">
        <f t="shared" si="96"/>
        <v>#N/A</v>
      </c>
      <c r="AX181" s="26">
        <f t="shared" si="97"/>
        <v>4.4556255064920308E-2</v>
      </c>
      <c r="AY181" s="27">
        <f t="shared" si="98"/>
        <v>44.767695313654556</v>
      </c>
      <c r="AZ181" s="29">
        <f t="shared" si="99"/>
        <v>0.125</v>
      </c>
      <c r="BA181" s="29">
        <f t="shared" si="100"/>
        <v>44.723313744108296</v>
      </c>
    </row>
    <row r="182" spans="26:53" x14ac:dyDescent="0.3">
      <c r="Z182" s="22">
        <v>1000000000</v>
      </c>
      <c r="AA182" s="4" cm="1">
        <f t="array" ref="AA182">_xlfn.IFS(AND($C$64="Yes",$C$78="Yes",$C$92="Yes",$C$50="Yes"),1/((1/AG182)+(1/AL182)+(1/AQ182)+(1/AV182)+(1/BA182)),AND($C$64="Yes",$C$78="Yes",$C$92="Yes",$C$50="No"),1/((1/AG182)+(1/AL182)+(1/AQ182)+(1/AV182)),AND($C$64="Yes",$C$78="Yes",$C$92="No",$C$50="No"),1/((1/AG182)+(1/AL182)+(1/AQ182)),AND($C$64="Yes",$C$78="No",$C$92="No",$C$50="No"),1/((1/AG182)+(1/AL182)),AND($C$64="No",$C$78="No",$C$92="No",$C$50="No"),1/((1/AG182)),AND($C$64="Yes",$C$78="No",$C$92="No",$C$50="Yes"),1/((1/AG182)+(1/AL182)+(1/BA182)), AND($C$64="No",$C$78="No",$C$92="No",$C$50="Yes"),1/((1/AG182)+(1/BA182)), AND($C$64="No",$C$78="Yes",$C$92="No",$C$50="Yes"),1/((1/AG182)+(1/AQ182)+(1/BA182)))</f>
        <v>23.134713623577809</v>
      </c>
      <c r="AB182" s="28">
        <f t="shared" si="101"/>
        <v>0.79935871743486953</v>
      </c>
      <c r="AD182" s="26">
        <f t="shared" si="82"/>
        <v>3.0142981646192305E-5</v>
      </c>
      <c r="AE182" s="27">
        <f t="shared" si="83"/>
        <v>1308.9969389957473</v>
      </c>
      <c r="AF182" s="28">
        <f t="shared" si="84"/>
        <v>0.25</v>
      </c>
      <c r="AG182" s="29">
        <f t="shared" si="102"/>
        <v>1308.9969327260076</v>
      </c>
      <c r="AH182" s="11"/>
      <c r="AI182" s="26">
        <f t="shared" si="85"/>
        <v>1.9894367886486917E-3</v>
      </c>
      <c r="AJ182" s="27">
        <f t="shared" si="86"/>
        <v>47.1238898038469</v>
      </c>
      <c r="AK182" s="29">
        <f t="shared" si="87"/>
        <v>0.125</v>
      </c>
      <c r="AL182" s="29">
        <f t="shared" si="88"/>
        <v>47.12206616016497</v>
      </c>
      <c r="AN182" s="26">
        <f t="shared" si="89"/>
        <v>1.5915494309189534E-2</v>
      </c>
      <c r="AO182" s="27">
        <f t="shared" si="90"/>
        <v>3769.9111843077517</v>
      </c>
      <c r="AP182" s="29">
        <f t="shared" si="91"/>
        <v>10</v>
      </c>
      <c r="AQ182" s="29" t="e">
        <f t="shared" si="92"/>
        <v>#N/A</v>
      </c>
      <c r="AS182" s="26">
        <f t="shared" si="93"/>
        <v>0.24114385316953837</v>
      </c>
      <c r="AT182" s="27">
        <f t="shared" si="94"/>
        <v>1884.9555921538758</v>
      </c>
      <c r="AU182" s="29">
        <f t="shared" si="95"/>
        <v>5</v>
      </c>
      <c r="AV182" s="29" t="e">
        <f t="shared" si="96"/>
        <v>#N/A</v>
      </c>
      <c r="AX182" s="26">
        <f t="shared" si="97"/>
        <v>4.2328442311674291E-2</v>
      </c>
      <c r="AY182" s="27">
        <f t="shared" si="98"/>
        <v>47.1238898038469</v>
      </c>
      <c r="AZ182" s="29">
        <f t="shared" si="99"/>
        <v>0.125</v>
      </c>
      <c r="BA182" s="29">
        <f t="shared" si="100"/>
        <v>47.081727296691305</v>
      </c>
    </row>
  </sheetData>
  <dataValidations count="1">
    <dataValidation type="list" allowBlank="1" showInputMessage="1" showErrorMessage="1" sqref="C64 C50 C78 C92" xr:uid="{E7AFE5B5-C334-40BD-989E-8CA27C94A0FC}">
      <formula1>"Yes,No"</formula1>
    </dataValidation>
  </dataValidations>
  <pageMargins left="0.7" right="0.7" top="0.75" bottom="0.75" header="0.3" footer="0.3"/>
  <pageSetup orientation="portrait" r:id="rId1"/>
  <ignoredErrors>
    <ignoredError sqref="C42" unlockedFormula="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FADF04-0598-433A-B732-248B16C37A07}">
  <dimension ref="A2:AU182"/>
  <sheetViews>
    <sheetView zoomScale="85" zoomScaleNormal="85" workbookViewId="0">
      <pane ySplit="21" topLeftCell="A58" activePane="bottomLeft" state="frozen"/>
      <selection pane="bottomLeft" activeCell="B65" sqref="B65"/>
    </sheetView>
  </sheetViews>
  <sheetFormatPr defaultRowHeight="14.4" x14ac:dyDescent="0.3"/>
  <cols>
    <col min="2" max="2" width="93.109375" bestFit="1" customWidth="1"/>
    <col min="3" max="3" width="14.88671875" bestFit="1" customWidth="1"/>
    <col min="4" max="4" width="11.33203125" bestFit="1" customWidth="1"/>
    <col min="5" max="5" width="19.88671875" customWidth="1"/>
    <col min="6" max="6" width="20.33203125" customWidth="1"/>
    <col min="7" max="7" width="20.5546875" customWidth="1"/>
    <col min="8" max="8" width="36.33203125" bestFit="1" customWidth="1"/>
    <col min="9" max="21" width="22" customWidth="1"/>
    <col min="24" max="24" width="14.33203125" bestFit="1" customWidth="1"/>
    <col min="25" max="25" width="12.44140625" bestFit="1" customWidth="1"/>
    <col min="26" max="26" width="16.88671875" bestFit="1" customWidth="1"/>
    <col min="27" max="27" width="16.88671875" customWidth="1"/>
    <col min="28" max="28" width="15.109375" bestFit="1" customWidth="1"/>
    <col min="29" max="29" width="21.5546875" bestFit="1" customWidth="1"/>
    <col min="31" max="31" width="24.88671875" bestFit="1" customWidth="1"/>
    <col min="32" max="32" width="14.109375" bestFit="1" customWidth="1"/>
    <col min="33" max="33" width="11" bestFit="1" customWidth="1"/>
    <col min="34" max="34" width="15.6640625" bestFit="1" customWidth="1"/>
    <col min="36" max="36" width="22.6640625" bestFit="1" customWidth="1"/>
    <col min="37" max="37" width="12.88671875" bestFit="1" customWidth="1"/>
    <col min="39" max="39" width="18.33203125" bestFit="1" customWidth="1"/>
    <col min="40" max="40" width="15.109375" customWidth="1"/>
    <col min="41" max="41" width="27" bestFit="1" customWidth="1"/>
    <col min="42" max="42" width="12.88671875" bestFit="1" customWidth="1"/>
    <col min="43" max="43" width="10.33203125" bestFit="1" customWidth="1"/>
    <col min="44" max="44" width="21.6640625" bestFit="1" customWidth="1"/>
    <col min="45" max="45" width="15.109375" customWidth="1"/>
    <col min="46" max="46" width="12.5546875" bestFit="1" customWidth="1"/>
  </cols>
  <sheetData>
    <row r="2" spans="4:4" x14ac:dyDescent="0.3">
      <c r="D2" t="str">
        <f>A103</f>
        <v>GOOD</v>
      </c>
    </row>
    <row r="3" spans="4:4" x14ac:dyDescent="0.3">
      <c r="D3" t="str">
        <f>A105</f>
        <v>GOOD</v>
      </c>
    </row>
    <row r="4" spans="4:4" x14ac:dyDescent="0.3">
      <c r="D4" t="str">
        <f>A107</f>
        <v>GOOD</v>
      </c>
    </row>
    <row r="5" spans="4:4" x14ac:dyDescent="0.3">
      <c r="D5" t="str">
        <f>A108</f>
        <v>GOOD</v>
      </c>
    </row>
    <row r="6" spans="4:4" x14ac:dyDescent="0.3">
      <c r="D6" t="str">
        <f>A109</f>
        <v>GOOD</v>
      </c>
    </row>
    <row r="7" spans="4:4" x14ac:dyDescent="0.3">
      <c r="D7" t="str">
        <f>A124</f>
        <v>GOOD</v>
      </c>
    </row>
    <row r="8" spans="4:4" x14ac:dyDescent="0.3">
      <c r="D8" t="str">
        <f>A131</f>
        <v>GOOD</v>
      </c>
    </row>
    <row r="9" spans="4:4" x14ac:dyDescent="0.3">
      <c r="D9" t="str">
        <f>A138</f>
        <v>GOOD</v>
      </c>
    </row>
    <row r="23" spans="1:47" x14ac:dyDescent="0.3">
      <c r="A23" s="55"/>
      <c r="B23" s="7" t="s">
        <v>44</v>
      </c>
    </row>
    <row r="24" spans="1:47" x14ac:dyDescent="0.3">
      <c r="A24" s="43"/>
      <c r="B24" s="7" t="s">
        <v>45</v>
      </c>
    </row>
    <row r="25" spans="1:47" x14ac:dyDescent="0.3">
      <c r="A25" s="45"/>
      <c r="B25" s="7" t="s">
        <v>290</v>
      </c>
    </row>
    <row r="27" spans="1:47" x14ac:dyDescent="0.3">
      <c r="Y27" s="14" t="s">
        <v>26</v>
      </c>
      <c r="Z27" s="14" t="s">
        <v>26</v>
      </c>
      <c r="AA27" s="14" t="s">
        <v>26</v>
      </c>
      <c r="AB27" s="14" t="s">
        <v>26</v>
      </c>
      <c r="AC27" s="14" t="s">
        <v>26</v>
      </c>
      <c r="AH27" s="14" t="s">
        <v>26</v>
      </c>
      <c r="AM27" s="14" t="s">
        <v>26</v>
      </c>
      <c r="AR27" s="14" t="s">
        <v>26</v>
      </c>
    </row>
    <row r="28" spans="1:47" ht="15.6" x14ac:dyDescent="0.35">
      <c r="B28" s="2" t="s">
        <v>291</v>
      </c>
      <c r="C28" s="55">
        <v>75</v>
      </c>
      <c r="D28" s="4" t="s">
        <v>20</v>
      </c>
      <c r="G28" s="14"/>
      <c r="U28" s="14"/>
      <c r="X28" s="24" t="s">
        <v>97</v>
      </c>
      <c r="Y28" s="24" t="s">
        <v>368</v>
      </c>
      <c r="Z28" s="24" t="s">
        <v>350</v>
      </c>
      <c r="AA28" s="24" t="s">
        <v>351</v>
      </c>
      <c r="AB28" s="24" t="s">
        <v>352</v>
      </c>
      <c r="AC28" s="24" t="s">
        <v>353</v>
      </c>
      <c r="AE28" s="24" t="s">
        <v>354</v>
      </c>
      <c r="AF28" s="24" t="s">
        <v>355</v>
      </c>
      <c r="AG28" s="24" t="s">
        <v>356</v>
      </c>
      <c r="AH28" s="24" t="s">
        <v>357</v>
      </c>
      <c r="AI28" s="1"/>
      <c r="AJ28" s="24" t="s">
        <v>358</v>
      </c>
      <c r="AK28" s="24" t="s">
        <v>359</v>
      </c>
      <c r="AL28" s="24" t="s">
        <v>360</v>
      </c>
      <c r="AM28" s="24" t="s">
        <v>361</v>
      </c>
      <c r="AN28" s="14"/>
      <c r="AO28" s="24" t="s">
        <v>358</v>
      </c>
      <c r="AP28" s="24" t="s">
        <v>362</v>
      </c>
      <c r="AQ28" s="24" t="s">
        <v>363</v>
      </c>
      <c r="AR28" s="24" t="s">
        <v>364</v>
      </c>
      <c r="AS28" s="14"/>
      <c r="AT28" s="24" t="s">
        <v>131</v>
      </c>
      <c r="AU28" s="24" t="s">
        <v>61</v>
      </c>
    </row>
    <row r="29" spans="1:47" ht="15.6" x14ac:dyDescent="0.35">
      <c r="B29" s="2" t="s">
        <v>292</v>
      </c>
      <c r="C29" s="55">
        <v>100</v>
      </c>
      <c r="D29" s="3" t="s">
        <v>20</v>
      </c>
      <c r="G29" s="13"/>
      <c r="X29" s="22">
        <v>1</v>
      </c>
      <c r="Y29" s="4" cm="1">
        <f t="array" ref="Y29">_xlfn.IFS(AND($C$69="Yes", $C$80="Yes"),1/((1/AH29)+(1/AM29)+(1/AR29)), AND($C$69="Yes", $C$80="No"), 1/((1/AH29)+(1/AM29)), AND($C$69="No", $C$80="Yes"), 1/((1/AH29)+(1/AR29)), AND($C$69="No", $C$80="No"), 1/(1/AH29))</f>
        <v>2384700.9753054343</v>
      </c>
      <c r="Z29" s="25">
        <f t="shared" ref="Z29:Z60" si="0">$C$49</f>
        <v>9.5231759468817092</v>
      </c>
      <c r="AA29" s="25">
        <f>$C$47</f>
        <v>3.2727272727272729</v>
      </c>
      <c r="AB29" s="25">
        <f t="shared" ref="AB29:AB60" si="1">$C$53</f>
        <v>87.272727272727309</v>
      </c>
      <c r="AC29" s="25">
        <f t="shared" ref="AC29:AC60" si="2">$C$57</f>
        <v>4</v>
      </c>
      <c r="AE29" s="26">
        <f t="shared" ref="AE29:AE60" si="3">1000/(2*PI()*$X29*$C$62*$C$59*0.000001)</f>
        <v>2418768.1320956741</v>
      </c>
      <c r="AF29" s="27">
        <f t="shared" ref="AF29:AF60" si="4">2*PI()*$X29*((0.000000001*$C$61)/$C$62)*1000</f>
        <v>2.6927937030769655E-7</v>
      </c>
      <c r="AG29" s="28">
        <f t="shared" ref="AG29:AG60" si="5">($C$60)/$C$62</f>
        <v>0.7142857142857143</v>
      </c>
      <c r="AH29" s="29">
        <f>SQRT(AG29^(2)+ABS(AE29-AF29)^(2))</f>
        <v>2418768.1320955101</v>
      </c>
      <c r="AJ29" s="26">
        <f t="shared" ref="AJ29:AJ60" si="6">1000/(2*PI()*$X29*$C$73*$C$70*0.000001)</f>
        <v>3386275.3849339434</v>
      </c>
      <c r="AK29" s="27">
        <f t="shared" ref="AK29:AK60" si="7">2*PI()*$X29*((0.000000001*$C$72)/$C$73)*1000</f>
        <v>3.1415926535897928E-5</v>
      </c>
      <c r="AL29" s="29">
        <f t="shared" ref="AL29:AL60" si="8">($C$71)/$C$73</f>
        <v>60</v>
      </c>
      <c r="AM29" s="29">
        <f t="shared" ref="AM29:AM60" si="9">IF($C$69="Yes", SQRT(AL29^(2)+ABS(AJ29-AK29)^(2)), 0.000000001)</f>
        <v>1.0000000000000001E-9</v>
      </c>
      <c r="AN29" s="9"/>
      <c r="AO29" s="26">
        <f t="shared" ref="AO29:AO60" si="10">1000/(2*PI()*$X29*$C$84*$C$81*0.000001)</f>
        <v>169313769.24669719</v>
      </c>
      <c r="AP29" s="27">
        <f t="shared" ref="AP29:AP60" si="11">2*PI()*$X29*((0.000000001*$C$83)/$C$84)*1000</f>
        <v>1.884955592153876E-7</v>
      </c>
      <c r="AQ29" s="29">
        <f t="shared" ref="AQ29:AQ60" si="12">($C$82)/$C$84</f>
        <v>0.5</v>
      </c>
      <c r="AR29" s="29">
        <f t="shared" ref="AR29:AR60" si="13">IF($C$80="Yes", SQRT(AQ29^(2)+ABS(AO29-AP29)^(2)), 0.000000001)</f>
        <v>169313769.24669701</v>
      </c>
      <c r="AS29" s="9"/>
      <c r="AT29" s="25">
        <f>C51*1000</f>
        <v>277797.71885130822</v>
      </c>
      <c r="AU29" s="4">
        <v>1E-4</v>
      </c>
    </row>
    <row r="30" spans="1:47" ht="15.6" x14ac:dyDescent="0.35">
      <c r="B30" s="2" t="s">
        <v>293</v>
      </c>
      <c r="C30" s="55">
        <v>100</v>
      </c>
      <c r="D30" s="3" t="s">
        <v>20</v>
      </c>
      <c r="G30" s="13"/>
      <c r="X30" s="22">
        <v>2</v>
      </c>
      <c r="Y30" s="4" cm="1">
        <f t="array" ref="Y30">_xlfn.IFS(AND($C$69="Yes", $C$80="Yes"),1/((1/AH30)+(1/AM30)+(1/AR30)), AND($C$69="Yes", $C$80="No"), 1/((1/AH30)+(1/AM30)), AND($C$69="No", $C$80="Yes"), 1/((1/AH30)+(1/AR30)), AND($C$69="No", $C$80="No"), 1/(1/AH30))</f>
        <v>1192350.4876524785</v>
      </c>
      <c r="Z30" s="25">
        <f t="shared" si="0"/>
        <v>9.5231759468817092</v>
      </c>
      <c r="AA30" s="25">
        <f t="shared" ref="AA30:AA93" si="14">$C$47</f>
        <v>3.2727272727272729</v>
      </c>
      <c r="AB30" s="25">
        <f t="shared" si="1"/>
        <v>87.272727272727309</v>
      </c>
      <c r="AC30" s="25">
        <f t="shared" si="2"/>
        <v>4</v>
      </c>
      <c r="AE30" s="26">
        <f t="shared" si="3"/>
        <v>1209384.066047837</v>
      </c>
      <c r="AF30" s="27">
        <f t="shared" si="4"/>
        <v>5.3855874061539311E-7</v>
      </c>
      <c r="AG30" s="28">
        <f t="shared" si="5"/>
        <v>0.7142857142857143</v>
      </c>
      <c r="AH30" s="29">
        <f t="shared" ref="AH30:AH93" si="15">SQRT(AG30^(2)+ABS(AE30-AF30)^(2))</f>
        <v>1209384.0660475094</v>
      </c>
      <c r="AJ30" s="26">
        <f t="shared" si="6"/>
        <v>1693137.6924669717</v>
      </c>
      <c r="AK30" s="27">
        <f t="shared" si="7"/>
        <v>6.2831853071795856E-5</v>
      </c>
      <c r="AL30" s="29">
        <f t="shared" si="8"/>
        <v>60</v>
      </c>
      <c r="AM30" s="29">
        <f t="shared" si="9"/>
        <v>1.0000000000000001E-9</v>
      </c>
      <c r="AN30" s="9"/>
      <c r="AO30" s="26">
        <f t="shared" si="10"/>
        <v>84656884.623348594</v>
      </c>
      <c r="AP30" s="27">
        <f t="shared" si="11"/>
        <v>3.769911184307752E-7</v>
      </c>
      <c r="AQ30" s="29">
        <f t="shared" si="12"/>
        <v>0.5</v>
      </c>
      <c r="AR30" s="29">
        <f t="shared" si="13"/>
        <v>84656884.623348221</v>
      </c>
      <c r="AS30" s="9"/>
      <c r="AT30" s="25"/>
      <c r="AU30" s="4"/>
    </row>
    <row r="31" spans="1:47" ht="15.6" x14ac:dyDescent="0.35">
      <c r="B31" s="2" t="s">
        <v>332</v>
      </c>
      <c r="C31" s="55">
        <v>50</v>
      </c>
      <c r="D31" s="3" t="s">
        <v>5</v>
      </c>
      <c r="G31" s="13"/>
      <c r="X31" s="22">
        <v>3</v>
      </c>
      <c r="Y31" s="4" cm="1">
        <f t="array" ref="Y31">_xlfn.IFS(AND($C$69="Yes", $C$80="Yes"),1/((1/AH31)+(1/AM31)+(1/AR31)), AND($C$69="Yes", $C$80="No"), 1/((1/AH31)+(1/AM31)), AND($C$69="No", $C$80="Yes"), 1/((1/AH31)+(1/AR31)), AND($C$69="No", $C$80="No"), 1/(1/AH31))</f>
        <v>794900.32510138687</v>
      </c>
      <c r="Z31" s="25">
        <f t="shared" si="0"/>
        <v>9.5231759468817092</v>
      </c>
      <c r="AA31" s="25">
        <f t="shared" si="14"/>
        <v>3.2727272727272729</v>
      </c>
      <c r="AB31" s="25">
        <f t="shared" si="1"/>
        <v>87.272727272727309</v>
      </c>
      <c r="AC31" s="25">
        <f t="shared" si="2"/>
        <v>4</v>
      </c>
      <c r="AE31" s="26">
        <f t="shared" si="3"/>
        <v>806256.04403189127</v>
      </c>
      <c r="AF31" s="27">
        <f t="shared" si="4"/>
        <v>8.0783811092308961E-7</v>
      </c>
      <c r="AG31" s="28">
        <f t="shared" si="5"/>
        <v>0.7142857142857143</v>
      </c>
      <c r="AH31" s="29">
        <f t="shared" si="15"/>
        <v>806256.04403139988</v>
      </c>
      <c r="AJ31" s="26">
        <f t="shared" si="6"/>
        <v>1128758.4616446479</v>
      </c>
      <c r="AK31" s="27">
        <f t="shared" si="7"/>
        <v>9.4247779607693798E-5</v>
      </c>
      <c r="AL31" s="29">
        <f t="shared" si="8"/>
        <v>60</v>
      </c>
      <c r="AM31" s="29">
        <f t="shared" si="9"/>
        <v>1.0000000000000001E-9</v>
      </c>
      <c r="AN31" s="9"/>
      <c r="AO31" s="26">
        <f t="shared" si="10"/>
        <v>56437923.082232393</v>
      </c>
      <c r="AP31" s="27">
        <f t="shared" si="11"/>
        <v>5.6548667764616277E-7</v>
      </c>
      <c r="AQ31" s="29">
        <f t="shared" si="12"/>
        <v>0.5</v>
      </c>
      <c r="AR31" s="29">
        <f t="shared" si="13"/>
        <v>56437923.082231827</v>
      </c>
      <c r="AS31" s="9"/>
      <c r="AT31" s="24" t="s">
        <v>365</v>
      </c>
      <c r="AU31" s="24" t="s">
        <v>61</v>
      </c>
    </row>
    <row r="32" spans="1:47" ht="15.6" x14ac:dyDescent="0.35">
      <c r="B32" s="2" t="s">
        <v>137</v>
      </c>
      <c r="C32" s="55">
        <v>10</v>
      </c>
      <c r="D32" s="3" t="s">
        <v>53</v>
      </c>
      <c r="G32" s="13"/>
      <c r="X32" s="22">
        <v>4</v>
      </c>
      <c r="Y32" s="4" cm="1">
        <f t="array" ref="Y32">_xlfn.IFS(AND($C$69="Yes", $C$80="Yes"),1/((1/AH32)+(1/AM32)+(1/AR32)), AND($C$69="Yes", $C$80="No"), 1/((1/AH32)+(1/AM32)), AND($C$69="No", $C$80="Yes"), 1/((1/AH32)+(1/AR32)), AND($C$69="No", $C$80="No"), 1/(1/AH32))</f>
        <v>596175.2438257616</v>
      </c>
      <c r="Z32" s="25">
        <f t="shared" si="0"/>
        <v>9.5231759468817092</v>
      </c>
      <c r="AA32" s="25">
        <f t="shared" si="14"/>
        <v>3.2727272727272729</v>
      </c>
      <c r="AB32" s="25">
        <f t="shared" si="1"/>
        <v>87.272727272727309</v>
      </c>
      <c r="AC32" s="25">
        <f t="shared" si="2"/>
        <v>4</v>
      </c>
      <c r="AE32" s="26">
        <f t="shared" si="3"/>
        <v>604692.03302391851</v>
      </c>
      <c r="AF32" s="27">
        <f t="shared" si="4"/>
        <v>1.0771174812307862E-6</v>
      </c>
      <c r="AG32" s="28">
        <f t="shared" si="5"/>
        <v>0.7142857142857143</v>
      </c>
      <c r="AH32" s="29">
        <f t="shared" si="15"/>
        <v>604692.03302326333</v>
      </c>
      <c r="AJ32" s="26">
        <f t="shared" si="6"/>
        <v>846568.84623348585</v>
      </c>
      <c r="AK32" s="27">
        <f t="shared" si="7"/>
        <v>1.2566370614359171E-4</v>
      </c>
      <c r="AL32" s="29">
        <f t="shared" si="8"/>
        <v>60</v>
      </c>
      <c r="AM32" s="29">
        <f t="shared" si="9"/>
        <v>1.0000000000000001E-9</v>
      </c>
      <c r="AN32" s="9"/>
      <c r="AO32" s="26">
        <f t="shared" si="10"/>
        <v>42328442.311674297</v>
      </c>
      <c r="AP32" s="27">
        <f t="shared" si="11"/>
        <v>7.5398223686155039E-7</v>
      </c>
      <c r="AQ32" s="29">
        <f t="shared" si="12"/>
        <v>0.5</v>
      </c>
      <c r="AR32" s="29">
        <f t="shared" si="13"/>
        <v>42328442.311673544</v>
      </c>
      <c r="AS32" s="9"/>
      <c r="AT32" s="4">
        <f>C39*1000</f>
        <v>500000</v>
      </c>
      <c r="AU32" s="4">
        <v>1E-4</v>
      </c>
    </row>
    <row r="33" spans="2:47" x14ac:dyDescent="0.3">
      <c r="G33" s="13"/>
      <c r="X33" s="22">
        <v>5</v>
      </c>
      <c r="Y33" s="4" cm="1">
        <f t="array" ref="Y33">_xlfn.IFS(AND($C$69="Yes", $C$80="Yes"),1/((1/AH33)+(1/AM33)+(1/AR33)), AND($C$69="Yes", $C$80="No"), 1/((1/AH33)+(1/AM33)), AND($C$69="No", $C$80="Yes"), 1/((1/AH33)+(1/AR33)), AND($C$69="No", $C$80="No"), 1/(1/AH33))</f>
        <v>476940.19506032235</v>
      </c>
      <c r="Z33" s="25">
        <f t="shared" si="0"/>
        <v>9.5231759468817092</v>
      </c>
      <c r="AA33" s="25">
        <f t="shared" si="14"/>
        <v>3.2727272727272729</v>
      </c>
      <c r="AB33" s="25">
        <f t="shared" si="1"/>
        <v>87.272727272727309</v>
      </c>
      <c r="AC33" s="25">
        <f t="shared" si="2"/>
        <v>4</v>
      </c>
      <c r="AE33" s="26">
        <f t="shared" si="3"/>
        <v>483753.62641913473</v>
      </c>
      <c r="AF33" s="27">
        <f t="shared" si="4"/>
        <v>1.3463968515384828E-6</v>
      </c>
      <c r="AG33" s="28">
        <f t="shared" si="5"/>
        <v>0.7142857142857143</v>
      </c>
      <c r="AH33" s="29">
        <f t="shared" si="15"/>
        <v>483753.62641831563</v>
      </c>
      <c r="AJ33" s="26">
        <f t="shared" si="6"/>
        <v>677255.07698678866</v>
      </c>
      <c r="AK33" s="27">
        <f t="shared" si="7"/>
        <v>1.5707963267948965E-4</v>
      </c>
      <c r="AL33" s="29">
        <f t="shared" si="8"/>
        <v>60</v>
      </c>
      <c r="AM33" s="29">
        <f t="shared" si="9"/>
        <v>1.0000000000000001E-9</v>
      </c>
      <c r="AN33" s="9"/>
      <c r="AO33" s="26">
        <f t="shared" si="10"/>
        <v>33862753.84933944</v>
      </c>
      <c r="AP33" s="27">
        <f t="shared" si="11"/>
        <v>9.4247779607693791E-7</v>
      </c>
      <c r="AQ33" s="29">
        <f t="shared" si="12"/>
        <v>0.5</v>
      </c>
      <c r="AR33" s="29">
        <f t="shared" si="13"/>
        <v>33862753.849338502</v>
      </c>
      <c r="AS33" s="9"/>
    </row>
    <row r="34" spans="2:47" ht="15.6" x14ac:dyDescent="0.35">
      <c r="B34" s="2" t="s">
        <v>10</v>
      </c>
      <c r="C34" s="45">
        <f>Main!C9</f>
        <v>12</v>
      </c>
      <c r="D34" s="3" t="s">
        <v>0</v>
      </c>
      <c r="G34" s="13"/>
      <c r="X34" s="22">
        <v>6</v>
      </c>
      <c r="Y34" s="4" cm="1">
        <f t="array" ref="Y34">_xlfn.IFS(AND($C$69="Yes", $C$80="Yes"),1/((1/AH34)+(1/AM34)+(1/AR34)), AND($C$69="Yes", $C$80="No"), 1/((1/AH34)+(1/AM34)), AND($C$69="No", $C$80="Yes"), 1/((1/AH34)+(1/AR34)), AND($C$69="No", $C$80="No"), 1/(1/AH34))</f>
        <v>397450.16254997667</v>
      </c>
      <c r="Z34" s="25">
        <f t="shared" si="0"/>
        <v>9.5231759468817092</v>
      </c>
      <c r="AA34" s="25">
        <f t="shared" si="14"/>
        <v>3.2727272727272729</v>
      </c>
      <c r="AB34" s="25">
        <f t="shared" si="1"/>
        <v>87.272727272727309</v>
      </c>
      <c r="AC34" s="25">
        <f t="shared" si="2"/>
        <v>4</v>
      </c>
      <c r="AE34" s="26">
        <f t="shared" si="3"/>
        <v>403128.02201594564</v>
      </c>
      <c r="AF34" s="27">
        <f t="shared" si="4"/>
        <v>1.6156762218461792E-6</v>
      </c>
      <c r="AG34" s="28">
        <f t="shared" si="5"/>
        <v>0.7142857142857143</v>
      </c>
      <c r="AH34" s="29">
        <f t="shared" si="15"/>
        <v>403128.02201496274</v>
      </c>
      <c r="AJ34" s="26">
        <f t="shared" si="6"/>
        <v>564379.23082232394</v>
      </c>
      <c r="AK34" s="27">
        <f t="shared" si="7"/>
        <v>1.884955592153876E-4</v>
      </c>
      <c r="AL34" s="29">
        <f t="shared" si="8"/>
        <v>60</v>
      </c>
      <c r="AM34" s="29">
        <f t="shared" si="9"/>
        <v>1.0000000000000001E-9</v>
      </c>
      <c r="AN34" s="9"/>
      <c r="AO34" s="26">
        <f t="shared" si="10"/>
        <v>28218961.541116197</v>
      </c>
      <c r="AP34" s="27">
        <f t="shared" si="11"/>
        <v>1.1309733552923255E-6</v>
      </c>
      <c r="AQ34" s="29">
        <f t="shared" si="12"/>
        <v>0.5</v>
      </c>
      <c r="AR34" s="29">
        <f t="shared" si="13"/>
        <v>28218961.541115068</v>
      </c>
      <c r="AS34" s="9"/>
      <c r="AT34" s="24" t="s">
        <v>366</v>
      </c>
      <c r="AU34" s="24" t="s">
        <v>61</v>
      </c>
    </row>
    <row r="35" spans="2:47" ht="15.6" x14ac:dyDescent="0.35">
      <c r="B35" s="2" t="s">
        <v>132</v>
      </c>
      <c r="C35" s="49">
        <f>Main!C27</f>
        <v>0.99919839679358702</v>
      </c>
      <c r="D35" s="3" t="s">
        <v>0</v>
      </c>
      <c r="G35" s="13"/>
      <c r="X35" s="22">
        <v>7</v>
      </c>
      <c r="Y35" s="4" cm="1">
        <f t="array" ref="Y35">_xlfn.IFS(AND($C$69="Yes", $C$80="Yes"),1/((1/AH35)+(1/AM35)+(1/AR35)), AND($C$69="Yes", $C$80="No"), 1/((1/AH35)+(1/AM35)), AND($C$69="No", $C$80="Yes"), 1/((1/AH35)+(1/AR35)), AND($C$69="No", $C$80="No"), 1/(1/AH35))</f>
        <v>340671.56789968436</v>
      </c>
      <c r="Z35" s="25">
        <f t="shared" si="0"/>
        <v>9.5231759468817092</v>
      </c>
      <c r="AA35" s="25">
        <f t="shared" si="14"/>
        <v>3.2727272727272729</v>
      </c>
      <c r="AB35" s="25">
        <f t="shared" si="1"/>
        <v>87.272727272727309</v>
      </c>
      <c r="AC35" s="25">
        <f t="shared" si="2"/>
        <v>4</v>
      </c>
      <c r="AE35" s="26">
        <f t="shared" si="3"/>
        <v>345538.30458509631</v>
      </c>
      <c r="AF35" s="27">
        <f t="shared" si="4"/>
        <v>1.8849555921538758E-6</v>
      </c>
      <c r="AG35" s="28">
        <f t="shared" si="5"/>
        <v>0.7142857142857143</v>
      </c>
      <c r="AH35" s="29">
        <f t="shared" si="15"/>
        <v>345538.30458394968</v>
      </c>
      <c r="AJ35" s="26">
        <f t="shared" si="6"/>
        <v>483753.62641913473</v>
      </c>
      <c r="AK35" s="27">
        <f t="shared" si="7"/>
        <v>2.1991148575128551E-4</v>
      </c>
      <c r="AL35" s="29">
        <f t="shared" si="8"/>
        <v>60</v>
      </c>
      <c r="AM35" s="29">
        <f t="shared" si="9"/>
        <v>1.0000000000000001E-9</v>
      </c>
      <c r="AN35" s="9"/>
      <c r="AO35" s="26">
        <f t="shared" si="10"/>
        <v>24187681.320956737</v>
      </c>
      <c r="AP35" s="27">
        <f t="shared" si="11"/>
        <v>1.3194689145077132E-6</v>
      </c>
      <c r="AQ35" s="29">
        <f t="shared" si="12"/>
        <v>0.5</v>
      </c>
      <c r="AR35" s="29">
        <f t="shared" si="13"/>
        <v>24187681.320955422</v>
      </c>
      <c r="AS35" s="9"/>
      <c r="AT35" s="62">
        <f>C55*1000000</f>
        <v>34999999.999999993</v>
      </c>
      <c r="AU35" s="4">
        <v>1E-4</v>
      </c>
    </row>
    <row r="36" spans="2:47" ht="15.6" x14ac:dyDescent="0.35">
      <c r="B36" s="2" t="s">
        <v>40</v>
      </c>
      <c r="C36" s="45">
        <f>Main!C37</f>
        <v>220</v>
      </c>
      <c r="D36" s="3" t="s">
        <v>5</v>
      </c>
      <c r="G36" s="13"/>
      <c r="X36" s="22">
        <v>8</v>
      </c>
      <c r="Y36" s="4" cm="1">
        <f t="array" ref="Y36">_xlfn.IFS(AND($C$69="Yes", $C$80="Yes"),1/((1/AH36)+(1/AM36)+(1/AR36)), AND($C$69="Yes", $C$80="No"), 1/((1/AH36)+(1/AM36)), AND($C$69="No", $C$80="Yes"), 1/((1/AH36)+(1/AR36)), AND($C$69="No", $C$80="No"), 1/(1/AH36))</f>
        <v>298087.62191192515</v>
      </c>
      <c r="Z36" s="25">
        <f t="shared" si="0"/>
        <v>9.5231759468817092</v>
      </c>
      <c r="AA36" s="25">
        <f t="shared" si="14"/>
        <v>3.2727272727272729</v>
      </c>
      <c r="AB36" s="25">
        <f t="shared" si="1"/>
        <v>87.272727272727309</v>
      </c>
      <c r="AC36" s="25">
        <f t="shared" si="2"/>
        <v>4</v>
      </c>
      <c r="AE36" s="26">
        <f t="shared" si="3"/>
        <v>302346.01651195926</v>
      </c>
      <c r="AF36" s="27">
        <f t="shared" si="4"/>
        <v>2.1542349624615724E-6</v>
      </c>
      <c r="AG36" s="28">
        <f t="shared" si="5"/>
        <v>0.7142857142857143</v>
      </c>
      <c r="AH36" s="29">
        <f t="shared" si="15"/>
        <v>302346.01651064877</v>
      </c>
      <c r="AJ36" s="26">
        <f t="shared" si="6"/>
        <v>423284.42311674292</v>
      </c>
      <c r="AK36" s="27">
        <f t="shared" si="7"/>
        <v>2.5132741228718343E-4</v>
      </c>
      <c r="AL36" s="29">
        <f t="shared" si="8"/>
        <v>60</v>
      </c>
      <c r="AM36" s="29">
        <f t="shared" si="9"/>
        <v>1.0000000000000001E-9</v>
      </c>
      <c r="AN36" s="9"/>
      <c r="AO36" s="26">
        <f t="shared" si="10"/>
        <v>21164221.155837148</v>
      </c>
      <c r="AP36" s="27">
        <f t="shared" si="11"/>
        <v>1.5079644737231008E-6</v>
      </c>
      <c r="AQ36" s="29">
        <f t="shared" si="12"/>
        <v>0.5</v>
      </c>
      <c r="AR36" s="29">
        <f t="shared" si="13"/>
        <v>21164221.155835647</v>
      </c>
      <c r="AS36" s="9"/>
    </row>
    <row r="37" spans="2:47" ht="15.6" x14ac:dyDescent="0.35">
      <c r="B37" s="2" t="s">
        <v>12</v>
      </c>
      <c r="C37" s="45">
        <f>Main!C11</f>
        <v>50</v>
      </c>
      <c r="D37" s="3" t="s">
        <v>3</v>
      </c>
      <c r="G37" s="13"/>
      <c r="X37" s="22">
        <v>9</v>
      </c>
      <c r="Y37" s="4" cm="1">
        <f t="array" ref="Y37">_xlfn.IFS(AND($C$69="Yes", $C$80="Yes"),1/((1/AH37)+(1/AM37)+(1/AR37)), AND($C$69="Yes", $C$80="No"), 1/((1/AH37)+(1/AM37)), AND($C$69="No", $C$80="Yes"), 1/((1/AH37)+(1/AR37)), AND($C$69="No", $C$80="No"), 1/(1/AH37))</f>
        <v>264966.77503252146</v>
      </c>
      <c r="Z37" s="25">
        <f t="shared" si="0"/>
        <v>9.5231759468817092</v>
      </c>
      <c r="AA37" s="25">
        <f t="shared" si="14"/>
        <v>3.2727272727272729</v>
      </c>
      <c r="AB37" s="25">
        <f t="shared" si="1"/>
        <v>87.272727272727309</v>
      </c>
      <c r="AC37" s="25">
        <f t="shared" si="2"/>
        <v>4</v>
      </c>
      <c r="AE37" s="26">
        <f t="shared" si="3"/>
        <v>268752.01467729709</v>
      </c>
      <c r="AF37" s="27">
        <f t="shared" si="4"/>
        <v>2.423514332769269E-6</v>
      </c>
      <c r="AG37" s="28">
        <f t="shared" si="5"/>
        <v>0.7142857142857143</v>
      </c>
      <c r="AH37" s="29">
        <f t="shared" si="15"/>
        <v>268752.01467582275</v>
      </c>
      <c r="AJ37" s="26">
        <f t="shared" si="6"/>
        <v>376252.820548216</v>
      </c>
      <c r="AK37" s="27">
        <f t="shared" si="7"/>
        <v>2.8274333882308137E-4</v>
      </c>
      <c r="AL37" s="29">
        <f t="shared" si="8"/>
        <v>60</v>
      </c>
      <c r="AM37" s="29">
        <f t="shared" si="9"/>
        <v>1.0000000000000001E-9</v>
      </c>
      <c r="AN37" s="9"/>
      <c r="AO37" s="26">
        <f t="shared" si="10"/>
        <v>18812641.027410794</v>
      </c>
      <c r="AP37" s="27">
        <f t="shared" si="11"/>
        <v>1.6964600329384882E-6</v>
      </c>
      <c r="AQ37" s="29">
        <f t="shared" si="12"/>
        <v>0.5</v>
      </c>
      <c r="AR37" s="29">
        <f t="shared" si="13"/>
        <v>18812641.027409106</v>
      </c>
      <c r="AS37" s="9"/>
    </row>
    <row r="38" spans="2:47" ht="15.6" x14ac:dyDescent="0.35">
      <c r="B38" s="2" t="s">
        <v>33</v>
      </c>
      <c r="C38" s="45">
        <f>Main!G10</f>
        <v>25</v>
      </c>
      <c r="D38" s="3" t="s">
        <v>3</v>
      </c>
      <c r="G38" s="13"/>
      <c r="X38" s="22">
        <v>10</v>
      </c>
      <c r="Y38" s="4" cm="1">
        <f t="array" ref="Y38">_xlfn.IFS(AND($C$69="Yes", $C$80="Yes"),1/((1/AH38)+(1/AM38)+(1/AR38)), AND($C$69="Yes", $C$80="No"), 1/((1/AH38)+(1/AM38)), AND($C$69="No", $C$80="Yes"), 1/((1/AH38)+(1/AR38)), AND($C$69="No", $C$80="No"), 1/(1/AH38))</f>
        <v>238470.09752896667</v>
      </c>
      <c r="Z38" s="25">
        <f t="shared" si="0"/>
        <v>9.5231759468817092</v>
      </c>
      <c r="AA38" s="25">
        <f t="shared" si="14"/>
        <v>3.2727272727272729</v>
      </c>
      <c r="AB38" s="25">
        <f t="shared" si="1"/>
        <v>87.272727272727309</v>
      </c>
      <c r="AC38" s="25">
        <f t="shared" si="2"/>
        <v>4</v>
      </c>
      <c r="AE38" s="26">
        <f t="shared" si="3"/>
        <v>241876.81320956736</v>
      </c>
      <c r="AF38" s="27">
        <f t="shared" si="4"/>
        <v>2.6927937030769656E-6</v>
      </c>
      <c r="AG38" s="28">
        <f t="shared" si="5"/>
        <v>0.7142857142857143</v>
      </c>
      <c r="AH38" s="29">
        <f t="shared" si="15"/>
        <v>241876.81320792923</v>
      </c>
      <c r="AJ38" s="26">
        <f t="shared" si="6"/>
        <v>338627.53849339433</v>
      </c>
      <c r="AK38" s="27">
        <f t="shared" si="7"/>
        <v>3.1415926535897931E-4</v>
      </c>
      <c r="AL38" s="29">
        <f t="shared" si="8"/>
        <v>60</v>
      </c>
      <c r="AM38" s="29">
        <f t="shared" si="9"/>
        <v>1.0000000000000001E-9</v>
      </c>
      <c r="AN38" s="9"/>
      <c r="AO38" s="26">
        <f t="shared" si="10"/>
        <v>16931376.92466972</v>
      </c>
      <c r="AP38" s="27">
        <f t="shared" si="11"/>
        <v>1.8849555921538758E-6</v>
      </c>
      <c r="AQ38" s="29">
        <f t="shared" si="12"/>
        <v>0.5</v>
      </c>
      <c r="AR38" s="29">
        <f t="shared" si="13"/>
        <v>16931376.924667843</v>
      </c>
      <c r="AS38" s="9"/>
    </row>
    <row r="39" spans="2:47" ht="15.6" x14ac:dyDescent="0.35">
      <c r="B39" s="2" t="s">
        <v>25</v>
      </c>
      <c r="C39" s="45">
        <f>Main!C12</f>
        <v>500</v>
      </c>
      <c r="D39" s="3" t="s">
        <v>4</v>
      </c>
      <c r="G39" s="17"/>
      <c r="X39" s="22">
        <v>15</v>
      </c>
      <c r="Y39" s="4" cm="1">
        <f t="array" ref="Y39">_xlfn.IFS(AND($C$69="Yes", $C$80="Yes"),1/((1/AH39)+(1/AM39)+(1/AR39)), AND($C$69="Yes", $C$80="No"), 1/((1/AH39)+(1/AM39)), AND($C$69="No", $C$80="Yes"), 1/((1/AH39)+(1/AR39)), AND($C$69="No", $C$80="No"), 1/(1/AH39))</f>
        <v>158980.06501798393</v>
      </c>
      <c r="Z39" s="25">
        <f t="shared" si="0"/>
        <v>9.5231759468817092</v>
      </c>
      <c r="AA39" s="25">
        <f t="shared" si="14"/>
        <v>3.2727272727272729</v>
      </c>
      <c r="AB39" s="25">
        <f t="shared" si="1"/>
        <v>87.272727272727309</v>
      </c>
      <c r="AC39" s="25">
        <f t="shared" si="2"/>
        <v>4</v>
      </c>
      <c r="AE39" s="26">
        <f t="shared" si="3"/>
        <v>161251.20880637827</v>
      </c>
      <c r="AF39" s="27">
        <f t="shared" si="4"/>
        <v>4.0391905546154478E-6</v>
      </c>
      <c r="AG39" s="28">
        <f t="shared" si="5"/>
        <v>0.7142857142857143</v>
      </c>
      <c r="AH39" s="29">
        <f t="shared" si="15"/>
        <v>161251.20880392109</v>
      </c>
      <c r="AJ39" s="26">
        <f t="shared" si="6"/>
        <v>225751.69232892964</v>
      </c>
      <c r="AK39" s="27">
        <f t="shared" si="7"/>
        <v>4.7123889803846896E-4</v>
      </c>
      <c r="AL39" s="29">
        <f t="shared" si="8"/>
        <v>60</v>
      </c>
      <c r="AM39" s="29">
        <f t="shared" si="9"/>
        <v>1.0000000000000001E-9</v>
      </c>
      <c r="AN39" s="9"/>
      <c r="AO39" s="26">
        <f t="shared" si="10"/>
        <v>11287584.616446478</v>
      </c>
      <c r="AP39" s="27">
        <f t="shared" si="11"/>
        <v>2.8274333882308137E-6</v>
      </c>
      <c r="AQ39" s="29">
        <f t="shared" si="12"/>
        <v>0.5</v>
      </c>
      <c r="AR39" s="29">
        <f t="shared" si="13"/>
        <v>11287584.616443662</v>
      </c>
      <c r="AS39" s="9"/>
    </row>
    <row r="40" spans="2:47" x14ac:dyDescent="0.3">
      <c r="B40" s="2" t="s">
        <v>22</v>
      </c>
      <c r="C40" s="49">
        <f>Main!C16</f>
        <v>8.3333333333333321</v>
      </c>
      <c r="D40" s="3" t="s">
        <v>6</v>
      </c>
      <c r="G40" s="13"/>
      <c r="X40" s="22">
        <v>20</v>
      </c>
      <c r="Y40" s="4" cm="1">
        <f t="array" ref="Y40">_xlfn.IFS(AND($C$69="Yes", $C$80="Yes"),1/((1/AH40)+(1/AM40)+(1/AR40)), AND($C$69="Yes", $C$80="No"), 1/((1/AH40)+(1/AM40)), AND($C$69="No", $C$80="Yes"), 1/((1/AH40)+(1/AR40)), AND($C$69="No", $C$80="No"), 1/(1/AH40))</f>
        <v>119235.04876209435</v>
      </c>
      <c r="Z40" s="25">
        <f t="shared" si="0"/>
        <v>9.5231759468817092</v>
      </c>
      <c r="AA40" s="25">
        <f t="shared" si="14"/>
        <v>3.2727272727272729</v>
      </c>
      <c r="AB40" s="25">
        <f t="shared" si="1"/>
        <v>87.272727272727309</v>
      </c>
      <c r="AC40" s="25">
        <f t="shared" si="2"/>
        <v>4</v>
      </c>
      <c r="AE40" s="26">
        <f t="shared" si="3"/>
        <v>120938.40660478368</v>
      </c>
      <c r="AF40" s="27">
        <f t="shared" si="4"/>
        <v>5.3855874061539313E-6</v>
      </c>
      <c r="AG40" s="28">
        <f t="shared" si="5"/>
        <v>0.7142857142857143</v>
      </c>
      <c r="AH40" s="29">
        <f t="shared" si="15"/>
        <v>120938.40660150745</v>
      </c>
      <c r="AI40" s="11"/>
      <c r="AJ40" s="26">
        <f t="shared" si="6"/>
        <v>169313.76924669716</v>
      </c>
      <c r="AK40" s="27">
        <f t="shared" si="7"/>
        <v>6.2831853071795862E-4</v>
      </c>
      <c r="AL40" s="29">
        <f t="shared" si="8"/>
        <v>60</v>
      </c>
      <c r="AM40" s="29">
        <f t="shared" si="9"/>
        <v>1.0000000000000001E-9</v>
      </c>
      <c r="AN40" s="9"/>
      <c r="AO40" s="26">
        <f t="shared" si="10"/>
        <v>8465688.4623348601</v>
      </c>
      <c r="AP40" s="27">
        <f t="shared" si="11"/>
        <v>3.7699111843077517E-6</v>
      </c>
      <c r="AQ40" s="29">
        <f t="shared" si="12"/>
        <v>0.5</v>
      </c>
      <c r="AR40" s="29">
        <f t="shared" si="13"/>
        <v>8465688.462331105</v>
      </c>
      <c r="AS40" s="9"/>
    </row>
    <row r="41" spans="2:47" x14ac:dyDescent="0.3">
      <c r="B41" s="2" t="s">
        <v>13</v>
      </c>
      <c r="C41" s="45">
        <f>Main!C14</f>
        <v>2</v>
      </c>
      <c r="D41" s="3"/>
      <c r="G41" s="13"/>
      <c r="X41" s="22">
        <v>25</v>
      </c>
      <c r="Y41" s="4" cm="1">
        <f t="array" ref="Y41">_xlfn.IFS(AND($C$69="Yes", $C$80="Yes"),1/((1/AH41)+(1/AM41)+(1/AR41)), AND($C$69="Yes", $C$80="No"), 1/((1/AH41)+(1/AM41)), AND($C$69="No", $C$80="Yes"), 1/((1/AH41)+(1/AR41)), AND($C$69="No", $C$80="No"), 1/(1/AH41))</f>
        <v>95388.039008242093</v>
      </c>
      <c r="Z41" s="25">
        <f t="shared" si="0"/>
        <v>9.5231759468817092</v>
      </c>
      <c r="AA41" s="25">
        <f t="shared" si="14"/>
        <v>3.2727272727272729</v>
      </c>
      <c r="AB41" s="25">
        <f t="shared" si="1"/>
        <v>87.272727272727309</v>
      </c>
      <c r="AC41" s="25">
        <f t="shared" si="2"/>
        <v>4</v>
      </c>
      <c r="AE41" s="26">
        <f t="shared" si="3"/>
        <v>96750.725283826949</v>
      </c>
      <c r="AF41" s="27">
        <f t="shared" si="4"/>
        <v>6.7319842576924148E-6</v>
      </c>
      <c r="AG41" s="28">
        <f t="shared" si="5"/>
        <v>0.7142857142857143</v>
      </c>
      <c r="AH41" s="29">
        <f t="shared" si="15"/>
        <v>96750.725279731661</v>
      </c>
      <c r="AI41" s="11"/>
      <c r="AJ41" s="26">
        <f t="shared" si="6"/>
        <v>135451.01539735773</v>
      </c>
      <c r="AK41" s="27">
        <f t="shared" si="7"/>
        <v>7.8539816339744833E-4</v>
      </c>
      <c r="AL41" s="29">
        <f t="shared" si="8"/>
        <v>60</v>
      </c>
      <c r="AM41" s="29">
        <f t="shared" si="9"/>
        <v>1.0000000000000001E-9</v>
      </c>
      <c r="AN41" s="9"/>
      <c r="AO41" s="26">
        <f t="shared" si="10"/>
        <v>6772550.7698678868</v>
      </c>
      <c r="AP41" s="27">
        <f t="shared" si="11"/>
        <v>4.7123889803846896E-6</v>
      </c>
      <c r="AQ41" s="29">
        <f t="shared" si="12"/>
        <v>0.5</v>
      </c>
      <c r="AR41" s="29">
        <f t="shared" si="13"/>
        <v>6772550.7698631929</v>
      </c>
      <c r="AS41" s="9"/>
    </row>
    <row r="42" spans="2:47" ht="15.6" x14ac:dyDescent="0.35">
      <c r="B42" s="2" t="s">
        <v>27</v>
      </c>
      <c r="C42" s="50">
        <f>Main!G30</f>
        <v>38.191629296581723</v>
      </c>
      <c r="D42" s="4" t="s">
        <v>4</v>
      </c>
      <c r="G42" s="13"/>
      <c r="X42" s="22">
        <v>30</v>
      </c>
      <c r="Y42" s="4" cm="1">
        <f t="array" ref="Y42">_xlfn.IFS(AND($C$69="Yes", $C$80="Yes"),1/((1/AH42)+(1/AM42)+(1/AR42)), AND($C$69="Yes", $C$80="No"), 1/((1/AH42)+(1/AM42)), AND($C$69="No", $C$80="Yes"), 1/((1/AH42)+(1/AR42)), AND($C$69="No", $C$80="No"), 1/(1/AH42))</f>
        <v>79490.032505408482</v>
      </c>
      <c r="Z42" s="25">
        <f t="shared" si="0"/>
        <v>9.5231759468817092</v>
      </c>
      <c r="AA42" s="25">
        <f t="shared" si="14"/>
        <v>3.2727272727272729</v>
      </c>
      <c r="AB42" s="25">
        <f t="shared" si="1"/>
        <v>87.272727272727309</v>
      </c>
      <c r="AC42" s="25">
        <f t="shared" si="2"/>
        <v>4</v>
      </c>
      <c r="AE42" s="26">
        <f t="shared" si="3"/>
        <v>80625.604403189136</v>
      </c>
      <c r="AF42" s="27">
        <f t="shared" si="4"/>
        <v>8.0783811092308957E-6</v>
      </c>
      <c r="AG42" s="28">
        <f t="shared" si="5"/>
        <v>0.7142857142857143</v>
      </c>
      <c r="AH42" s="29">
        <f t="shared" si="15"/>
        <v>80625.604398274794</v>
      </c>
      <c r="AI42" s="11"/>
      <c r="AJ42" s="26">
        <f t="shared" si="6"/>
        <v>112875.84616446482</v>
      </c>
      <c r="AK42" s="27">
        <f t="shared" si="7"/>
        <v>9.4247779607693793E-4</v>
      </c>
      <c r="AL42" s="29">
        <f t="shared" si="8"/>
        <v>60</v>
      </c>
      <c r="AM42" s="29">
        <f t="shared" si="9"/>
        <v>1.0000000000000001E-9</v>
      </c>
      <c r="AN42" s="9"/>
      <c r="AO42" s="26">
        <f t="shared" si="10"/>
        <v>5643792.3082232391</v>
      </c>
      <c r="AP42" s="27">
        <f t="shared" si="11"/>
        <v>5.6548667764616275E-6</v>
      </c>
      <c r="AQ42" s="29">
        <f t="shared" si="12"/>
        <v>0.5</v>
      </c>
      <c r="AR42" s="29">
        <f t="shared" si="13"/>
        <v>5643792.3082176065</v>
      </c>
      <c r="AS42" s="9"/>
    </row>
    <row r="43" spans="2:47" ht="15.6" x14ac:dyDescent="0.35">
      <c r="B43" s="2" t="s">
        <v>119</v>
      </c>
      <c r="C43" s="49">
        <f>Main!C39</f>
        <v>8.3333333333333321</v>
      </c>
      <c r="D43" s="4" t="s">
        <v>3</v>
      </c>
      <c r="G43" s="13"/>
      <c r="X43" s="22">
        <v>35</v>
      </c>
      <c r="Y43" s="4" cm="1">
        <f t="array" ref="Y43">_xlfn.IFS(AND($C$69="Yes", $C$80="Yes"),1/((1/AH43)+(1/AM43)+(1/AR43)), AND($C$69="Yes", $C$80="No"), 1/((1/AH43)+(1/AM43)), AND($C$69="No", $C$80="Yes"), 1/((1/AH43)+(1/AR43)), AND($C$69="No", $C$80="No"), 1/(1/AH43))</f>
        <v>68134.313574585482</v>
      </c>
      <c r="Z43" s="25">
        <f t="shared" si="0"/>
        <v>9.5231759468817092</v>
      </c>
      <c r="AA43" s="25">
        <f t="shared" si="14"/>
        <v>3.2727272727272729</v>
      </c>
      <c r="AB43" s="25">
        <f t="shared" si="1"/>
        <v>87.272727272727309</v>
      </c>
      <c r="AC43" s="25">
        <f t="shared" si="2"/>
        <v>4</v>
      </c>
      <c r="AE43" s="26">
        <f t="shared" si="3"/>
        <v>69107.660917019253</v>
      </c>
      <c r="AF43" s="27">
        <f t="shared" si="4"/>
        <v>9.4247779607693791E-6</v>
      </c>
      <c r="AG43" s="28">
        <f t="shared" si="5"/>
        <v>0.7142857142857143</v>
      </c>
      <c r="AH43" s="29">
        <f t="shared" si="15"/>
        <v>69107.660911285842</v>
      </c>
      <c r="AI43" s="11"/>
      <c r="AJ43" s="26">
        <f t="shared" si="6"/>
        <v>96750.725283826963</v>
      </c>
      <c r="AK43" s="27">
        <f t="shared" si="7"/>
        <v>1.0995574287564274E-3</v>
      </c>
      <c r="AL43" s="29">
        <f t="shared" si="8"/>
        <v>60</v>
      </c>
      <c r="AM43" s="29">
        <f t="shared" si="9"/>
        <v>1.0000000000000001E-9</v>
      </c>
      <c r="AN43" s="9"/>
      <c r="AO43" s="26">
        <f t="shared" si="10"/>
        <v>4837536.264191349</v>
      </c>
      <c r="AP43" s="27">
        <f t="shared" si="11"/>
        <v>6.5973445725385645E-6</v>
      </c>
      <c r="AQ43" s="29">
        <f t="shared" si="12"/>
        <v>0.5</v>
      </c>
      <c r="AR43" s="29">
        <f t="shared" si="13"/>
        <v>4837536.2641847776</v>
      </c>
      <c r="AS43" s="9"/>
    </row>
    <row r="44" spans="2:47" x14ac:dyDescent="0.3">
      <c r="G44" s="13"/>
      <c r="X44" s="22">
        <v>40</v>
      </c>
      <c r="Y44" s="4" cm="1">
        <f t="array" ref="Y44">_xlfn.IFS(AND($C$69="Yes", $C$80="Yes"),1/((1/AH44)+(1/AM44)+(1/AR44)), AND($C$69="Yes", $C$80="No"), 1/((1/AH44)+(1/AM44)), AND($C$69="No", $C$80="Yes"), 1/((1/AH44)+(1/AR44)), AND($C$69="No", $C$80="No"), 1/(1/AH44))</f>
        <v>59617.524376269161</v>
      </c>
      <c r="Z44" s="25">
        <f t="shared" si="0"/>
        <v>9.5231759468817092</v>
      </c>
      <c r="AA44" s="25">
        <f t="shared" si="14"/>
        <v>3.2727272727272729</v>
      </c>
      <c r="AB44" s="25">
        <f t="shared" si="1"/>
        <v>87.272727272727309</v>
      </c>
      <c r="AC44" s="25">
        <f t="shared" si="2"/>
        <v>4</v>
      </c>
      <c r="AE44" s="26">
        <f t="shared" si="3"/>
        <v>60469.203302391841</v>
      </c>
      <c r="AF44" s="27">
        <f t="shared" si="4"/>
        <v>1.0771174812307863E-5</v>
      </c>
      <c r="AG44" s="28">
        <f t="shared" si="5"/>
        <v>0.7142857142857143</v>
      </c>
      <c r="AH44" s="29">
        <f t="shared" si="15"/>
        <v>60469.203295839376</v>
      </c>
      <c r="AI44" s="11"/>
      <c r="AJ44" s="26">
        <f t="shared" si="6"/>
        <v>84656.884623348582</v>
      </c>
      <c r="AK44" s="27">
        <f t="shared" si="7"/>
        <v>1.2566370614359172E-3</v>
      </c>
      <c r="AL44" s="29">
        <f t="shared" si="8"/>
        <v>60</v>
      </c>
      <c r="AM44" s="29">
        <f t="shared" si="9"/>
        <v>1.0000000000000001E-9</v>
      </c>
      <c r="AN44" s="9"/>
      <c r="AO44" s="26">
        <f t="shared" si="10"/>
        <v>4232844.2311674301</v>
      </c>
      <c r="AP44" s="27">
        <f t="shared" si="11"/>
        <v>7.5398223686155033E-6</v>
      </c>
      <c r="AQ44" s="29">
        <f t="shared" si="12"/>
        <v>0.5</v>
      </c>
      <c r="AR44" s="29">
        <f t="shared" si="13"/>
        <v>4232844.2311599199</v>
      </c>
      <c r="AS44" s="9"/>
    </row>
    <row r="45" spans="2:47" ht="15.6" x14ac:dyDescent="0.35">
      <c r="B45" s="2" t="s">
        <v>333</v>
      </c>
      <c r="C45" s="47">
        <f>SQRT((C40*0.01)*(POWER(C37/C41, 2)*(1-(C40*0.01))+(1/12)*(((C34-C35)*C40*0.01)/(C36*0.000000001*C39*1000))^2))</f>
        <v>6.9444495052532949</v>
      </c>
      <c r="D45" s="3" t="s">
        <v>3</v>
      </c>
      <c r="G45" s="13"/>
      <c r="X45" s="22">
        <v>45</v>
      </c>
      <c r="Y45" s="4" cm="1">
        <f t="array" ref="Y45">_xlfn.IFS(AND($C$69="Yes", $C$80="Yes"),1/((1/AH45)+(1/AM45)+(1/AR45)), AND($C$69="Yes", $C$80="No"), 1/((1/AH45)+(1/AM45)), AND($C$69="No", $C$80="Yes"), 1/((1/AH45)+(1/AR45)), AND($C$69="No", $C$80="No"), 1/(1/AH45))</f>
        <v>52993.354999623953</v>
      </c>
      <c r="Z45" s="25">
        <f t="shared" si="0"/>
        <v>9.5231759468817092</v>
      </c>
      <c r="AA45" s="25">
        <f t="shared" si="14"/>
        <v>3.2727272727272729</v>
      </c>
      <c r="AB45" s="25">
        <f t="shared" si="1"/>
        <v>87.272727272727309</v>
      </c>
      <c r="AC45" s="25">
        <f t="shared" si="2"/>
        <v>4</v>
      </c>
      <c r="AE45" s="26">
        <f t="shared" si="3"/>
        <v>53750.402935459409</v>
      </c>
      <c r="AF45" s="27">
        <f t="shared" si="4"/>
        <v>1.2117571663846344E-5</v>
      </c>
      <c r="AG45" s="28">
        <f t="shared" si="5"/>
        <v>0.7142857142857143</v>
      </c>
      <c r="AH45" s="29">
        <f t="shared" si="15"/>
        <v>53750.402928087889</v>
      </c>
      <c r="AI45" s="11"/>
      <c r="AJ45" s="26">
        <f t="shared" si="6"/>
        <v>75250.564109643194</v>
      </c>
      <c r="AK45" s="27">
        <f t="shared" si="7"/>
        <v>1.4137166941154068E-3</v>
      </c>
      <c r="AL45" s="29">
        <f t="shared" si="8"/>
        <v>60</v>
      </c>
      <c r="AM45" s="29">
        <f t="shared" si="9"/>
        <v>1.0000000000000001E-9</v>
      </c>
      <c r="AN45" s="9"/>
      <c r="AO45" s="26">
        <f t="shared" si="10"/>
        <v>3762528.2054821597</v>
      </c>
      <c r="AP45" s="27">
        <f t="shared" si="11"/>
        <v>8.4823001646924412E-6</v>
      </c>
      <c r="AQ45" s="29">
        <f t="shared" si="12"/>
        <v>0.5</v>
      </c>
      <c r="AR45" s="29">
        <f t="shared" si="13"/>
        <v>3762528.2054737108</v>
      </c>
      <c r="AS45" s="9"/>
    </row>
    <row r="46" spans="2:47" ht="15.6" x14ac:dyDescent="0.35">
      <c r="B46" s="2" t="s">
        <v>342</v>
      </c>
      <c r="C46" s="47">
        <f>(C40*0.01*(1-(C40*0.01))*(C37/C41))/(C28*0.001*C39*1000)*1000000</f>
        <v>50.925925925925924</v>
      </c>
      <c r="D46" s="3" t="s">
        <v>8</v>
      </c>
      <c r="G46" s="13"/>
      <c r="X46" s="22">
        <v>50</v>
      </c>
      <c r="Y46" s="4" cm="1">
        <f t="array" ref="Y46">_xlfn.IFS(AND($C$69="Yes", $C$80="Yes"),1/((1/AH46)+(1/AM46)+(1/AR46)), AND($C$69="Yes", $C$80="No"), 1/((1/AH46)+(1/AM46)), AND($C$69="No", $C$80="Yes"), 1/((1/AH46)+(1/AR46)), AND($C$69="No", $C$80="No"), 1/(1/AH46))</f>
        <v>47694.019498148518</v>
      </c>
      <c r="Z46" s="25">
        <f t="shared" si="0"/>
        <v>9.5231759468817092</v>
      </c>
      <c r="AA46" s="25">
        <f t="shared" si="14"/>
        <v>3.2727272727272729</v>
      </c>
      <c r="AB46" s="25">
        <f t="shared" si="1"/>
        <v>87.272727272727309</v>
      </c>
      <c r="AC46" s="25">
        <f t="shared" si="2"/>
        <v>4</v>
      </c>
      <c r="AE46" s="26">
        <f t="shared" si="3"/>
        <v>48375.362641913474</v>
      </c>
      <c r="AF46" s="27">
        <f t="shared" si="4"/>
        <v>1.346396851538483E-5</v>
      </c>
      <c r="AG46" s="28">
        <f t="shared" si="5"/>
        <v>0.7142857142857143</v>
      </c>
      <c r="AH46" s="29">
        <f t="shared" si="15"/>
        <v>48375.362633722892</v>
      </c>
      <c r="AI46" s="11"/>
      <c r="AJ46" s="26">
        <f t="shared" si="6"/>
        <v>67725.507698678863</v>
      </c>
      <c r="AK46" s="27">
        <f t="shared" si="7"/>
        <v>1.5707963267948967E-3</v>
      </c>
      <c r="AL46" s="29">
        <f t="shared" si="8"/>
        <v>60</v>
      </c>
      <c r="AM46" s="29">
        <f t="shared" si="9"/>
        <v>1.0000000000000001E-9</v>
      </c>
      <c r="AN46" s="9"/>
      <c r="AO46" s="26">
        <f t="shared" si="10"/>
        <v>3386275.3849339434</v>
      </c>
      <c r="AP46" s="27">
        <f t="shared" si="11"/>
        <v>9.4247779607693791E-6</v>
      </c>
      <c r="AQ46" s="29">
        <f t="shared" si="12"/>
        <v>0.5</v>
      </c>
      <c r="AR46" s="29">
        <f t="shared" si="13"/>
        <v>3386275.3849245552</v>
      </c>
      <c r="AS46" s="9"/>
    </row>
    <row r="47" spans="2:47" ht="15.6" x14ac:dyDescent="0.35">
      <c r="B47" s="2" t="s">
        <v>343</v>
      </c>
      <c r="C47" s="47">
        <f>C28/((1-C40*0.01)*(C37/C41))</f>
        <v>3.2727272727272729</v>
      </c>
      <c r="D47" s="4" t="s">
        <v>21</v>
      </c>
      <c r="G47" s="13"/>
      <c r="X47" s="22">
        <v>55</v>
      </c>
      <c r="Y47" s="4" cm="1">
        <f t="array" ref="Y47">_xlfn.IFS(AND($C$69="Yes", $C$80="Yes"),1/((1/AH47)+(1/AM47)+(1/AR47)), AND($C$69="Yes", $C$80="No"), 1/((1/AH47)+(1/AM47)), AND($C$69="No", $C$80="Yes"), 1/((1/AH47)+(1/AR47)), AND($C$69="No", $C$80="No"), 1/(1/AH47))</f>
        <v>43358.199542251117</v>
      </c>
      <c r="Z47" s="25">
        <f t="shared" si="0"/>
        <v>9.5231759468817092</v>
      </c>
      <c r="AA47" s="25">
        <f t="shared" si="14"/>
        <v>3.2727272727272729</v>
      </c>
      <c r="AB47" s="25">
        <f t="shared" si="1"/>
        <v>87.272727272727309</v>
      </c>
      <c r="AC47" s="25">
        <f t="shared" si="2"/>
        <v>4</v>
      </c>
      <c r="AE47" s="26">
        <f t="shared" si="3"/>
        <v>43977.602401739525</v>
      </c>
      <c r="AF47" s="27">
        <f t="shared" si="4"/>
        <v>1.4810365366923311E-5</v>
      </c>
      <c r="AG47" s="28">
        <f t="shared" si="5"/>
        <v>0.7142857142857143</v>
      </c>
      <c r="AH47" s="29">
        <f t="shared" si="15"/>
        <v>43977.602392729888</v>
      </c>
      <c r="AI47" s="11"/>
      <c r="AJ47" s="26">
        <f t="shared" si="6"/>
        <v>61568.643362435345</v>
      </c>
      <c r="AK47" s="27">
        <f t="shared" si="7"/>
        <v>1.7278759594743865E-3</v>
      </c>
      <c r="AL47" s="29">
        <f t="shared" si="8"/>
        <v>60</v>
      </c>
      <c r="AM47" s="29">
        <f t="shared" si="9"/>
        <v>1.0000000000000001E-9</v>
      </c>
      <c r="AN47" s="9"/>
      <c r="AO47" s="26">
        <f t="shared" si="10"/>
        <v>3078432.1681217672</v>
      </c>
      <c r="AP47" s="27">
        <f t="shared" si="11"/>
        <v>1.0367255756846319E-5</v>
      </c>
      <c r="AQ47" s="29">
        <f t="shared" si="12"/>
        <v>0.5</v>
      </c>
      <c r="AR47" s="29">
        <f t="shared" si="13"/>
        <v>3078432.1681114403</v>
      </c>
      <c r="AS47" s="9"/>
    </row>
    <row r="48" spans="2:47" ht="15.6" x14ac:dyDescent="0.35">
      <c r="B48" s="2" t="s">
        <v>344</v>
      </c>
      <c r="C48" s="47">
        <f>((C28/1000)*C32*0.000000001)/(C37/C41)*1000000000</f>
        <v>3.0000000000000006E-2</v>
      </c>
      <c r="D48" s="4" t="s">
        <v>5</v>
      </c>
      <c r="G48" s="13"/>
      <c r="X48" s="22">
        <v>60</v>
      </c>
      <c r="Y48" s="4" cm="1">
        <f t="array" ref="Y48">_xlfn.IFS(AND($C$69="Yes", $C$80="Yes"),1/((1/AH48)+(1/AM48)+(1/AR48)), AND($C$69="Yes", $C$80="No"), 1/((1/AH48)+(1/AM48)), AND($C$69="No", $C$80="Yes"), 1/((1/AH48)+(1/AR48)), AND($C$69="No", $C$80="No"), 1/(1/AH48))</f>
        <v>39745.016245537226</v>
      </c>
      <c r="Z48" s="25">
        <f t="shared" si="0"/>
        <v>9.5231759468817092</v>
      </c>
      <c r="AA48" s="25">
        <f t="shared" si="14"/>
        <v>3.2727272727272729</v>
      </c>
      <c r="AB48" s="25">
        <f t="shared" si="1"/>
        <v>87.272727272727309</v>
      </c>
      <c r="AC48" s="25">
        <f t="shared" si="2"/>
        <v>4</v>
      </c>
      <c r="AE48" s="26">
        <f t="shared" si="3"/>
        <v>40312.802201594568</v>
      </c>
      <c r="AF48" s="27">
        <f t="shared" si="4"/>
        <v>1.6156762218461791E-5</v>
      </c>
      <c r="AG48" s="28">
        <f t="shared" si="5"/>
        <v>0.7142857142857143</v>
      </c>
      <c r="AH48" s="29">
        <f t="shared" si="15"/>
        <v>40312.802191765877</v>
      </c>
      <c r="AI48" s="11"/>
      <c r="AJ48" s="26">
        <f t="shared" si="6"/>
        <v>56437.92308223241</v>
      </c>
      <c r="AK48" s="27">
        <f t="shared" si="7"/>
        <v>1.8849555921538759E-3</v>
      </c>
      <c r="AL48" s="29">
        <f t="shared" si="8"/>
        <v>60</v>
      </c>
      <c r="AM48" s="29">
        <f t="shared" si="9"/>
        <v>1.0000000000000001E-9</v>
      </c>
      <c r="AN48" s="9"/>
      <c r="AO48" s="26">
        <f t="shared" si="10"/>
        <v>2821896.1541116196</v>
      </c>
      <c r="AP48" s="27">
        <f t="shared" si="11"/>
        <v>1.1309733552923255E-5</v>
      </c>
      <c r="AQ48" s="29">
        <f t="shared" si="12"/>
        <v>0.5</v>
      </c>
      <c r="AR48" s="29">
        <f t="shared" si="13"/>
        <v>2821896.1541003543</v>
      </c>
      <c r="AS48" s="9"/>
    </row>
    <row r="49" spans="2:45" ht="15.6" x14ac:dyDescent="0.35">
      <c r="B49" s="2" t="s">
        <v>347</v>
      </c>
      <c r="C49" s="47">
        <f>1000/(2*PI()*C46*0.000001*C39*1000)+C47</f>
        <v>9.5231759468817092</v>
      </c>
      <c r="D49" s="4" t="s">
        <v>21</v>
      </c>
      <c r="G49" s="13"/>
      <c r="X49" s="22">
        <v>65</v>
      </c>
      <c r="Y49" s="4" cm="1">
        <f t="array" ref="Y49">_xlfn.IFS(AND($C$69="Yes", $C$80="Yes"),1/((1/AH49)+(1/AM49)+(1/AR49)), AND($C$69="Yes", $C$80="No"), 1/((1/AH49)+(1/AM49)), AND($C$69="No", $C$80="Yes"), 1/((1/AH49)+(1/AR49)), AND($C$69="No", $C$80="No"), 1/(1/AH49))</f>
        <v>36687.707302041403</v>
      </c>
      <c r="Z49" s="25">
        <f t="shared" si="0"/>
        <v>9.5231759468817092</v>
      </c>
      <c r="AA49" s="25">
        <f t="shared" si="14"/>
        <v>3.2727272727272729</v>
      </c>
      <c r="AB49" s="25">
        <f t="shared" si="1"/>
        <v>87.272727272727309</v>
      </c>
      <c r="AC49" s="25">
        <f t="shared" si="2"/>
        <v>4</v>
      </c>
      <c r="AE49" s="26">
        <f t="shared" si="3"/>
        <v>37211.817416856531</v>
      </c>
      <c r="AF49" s="27">
        <f t="shared" si="4"/>
        <v>1.7503159070000273E-5</v>
      </c>
      <c r="AG49" s="28">
        <f t="shared" si="5"/>
        <v>0.7142857142857143</v>
      </c>
      <c r="AH49" s="29">
        <f t="shared" si="15"/>
        <v>37211.817406208771</v>
      </c>
      <c r="AI49" s="11"/>
      <c r="AJ49" s="26">
        <f t="shared" si="6"/>
        <v>52096.544383599132</v>
      </c>
      <c r="AK49" s="27">
        <f t="shared" si="7"/>
        <v>2.0420352248333657E-3</v>
      </c>
      <c r="AL49" s="29">
        <f t="shared" si="8"/>
        <v>60</v>
      </c>
      <c r="AM49" s="29">
        <f t="shared" si="9"/>
        <v>1.0000000000000001E-9</v>
      </c>
      <c r="AN49" s="9"/>
      <c r="AO49" s="26">
        <f t="shared" si="10"/>
        <v>2604827.2191799567</v>
      </c>
      <c r="AP49" s="27">
        <f t="shared" si="11"/>
        <v>1.2252211349000193E-5</v>
      </c>
      <c r="AQ49" s="29">
        <f t="shared" si="12"/>
        <v>0.5</v>
      </c>
      <c r="AR49" s="29">
        <f t="shared" si="13"/>
        <v>2604827.2191677527</v>
      </c>
      <c r="AS49" s="9"/>
    </row>
    <row r="50" spans="2:45" x14ac:dyDescent="0.3">
      <c r="X50" s="22">
        <v>70</v>
      </c>
      <c r="Y50" s="4" cm="1">
        <f t="array" ref="Y50">_xlfn.IFS(AND($C$69="Yes", $C$80="Yes"),1/((1/AH50)+(1/AM50)+(1/AR50)), AND($C$69="Yes", $C$80="No"), 1/((1/AH50)+(1/AM50)), AND($C$69="No", $C$80="Yes"), 1/((1/AH50)+(1/AR50)), AND($C$69="No", $C$80="No"), 1/(1/AH50))</f>
        <v>34067.156778931225</v>
      </c>
      <c r="Z50" s="25">
        <f t="shared" si="0"/>
        <v>9.5231759468817092</v>
      </c>
      <c r="AA50" s="25">
        <f t="shared" si="14"/>
        <v>3.2727272727272729</v>
      </c>
      <c r="AB50" s="25">
        <f t="shared" si="1"/>
        <v>87.272727272727309</v>
      </c>
      <c r="AC50" s="25">
        <f t="shared" si="2"/>
        <v>4</v>
      </c>
      <c r="AE50" s="26">
        <f t="shared" si="3"/>
        <v>34553.830458509627</v>
      </c>
      <c r="AF50" s="27">
        <f t="shared" si="4"/>
        <v>1.8849555921538758E-5</v>
      </c>
      <c r="AG50" s="28">
        <f t="shared" si="5"/>
        <v>0.7142857142857143</v>
      </c>
      <c r="AH50" s="29">
        <f t="shared" si="15"/>
        <v>34553.830447042812</v>
      </c>
      <c r="AI50" s="11"/>
      <c r="AJ50" s="26">
        <f t="shared" si="6"/>
        <v>48375.362641913482</v>
      </c>
      <c r="AK50" s="27">
        <f t="shared" si="7"/>
        <v>2.1991148575128548E-3</v>
      </c>
      <c r="AL50" s="29">
        <f t="shared" si="8"/>
        <v>60</v>
      </c>
      <c r="AM50" s="29">
        <f t="shared" si="9"/>
        <v>1.0000000000000001E-9</v>
      </c>
      <c r="AN50" s="9"/>
      <c r="AO50" s="26">
        <f t="shared" si="10"/>
        <v>2418768.1320956745</v>
      </c>
      <c r="AP50" s="27">
        <f t="shared" si="11"/>
        <v>1.3194689145077129E-5</v>
      </c>
      <c r="AQ50" s="29">
        <f t="shared" si="12"/>
        <v>0.5</v>
      </c>
      <c r="AR50" s="29">
        <f t="shared" si="13"/>
        <v>2418768.1320825317</v>
      </c>
      <c r="AS50" s="9"/>
    </row>
    <row r="51" spans="2:45" ht="15.6" x14ac:dyDescent="0.35">
      <c r="B51" s="2" t="s">
        <v>345</v>
      </c>
      <c r="C51" s="52">
        <f>1/(2*PI()*SQRT(C31*0.000000001*C52*0.000001))/1000</f>
        <v>277.79771885130822</v>
      </c>
      <c r="D51" s="4" t="s">
        <v>4</v>
      </c>
      <c r="L51" s="15"/>
      <c r="M51" s="15"/>
      <c r="N51" s="15"/>
      <c r="O51" s="15"/>
      <c r="P51" s="15"/>
      <c r="Q51" s="15"/>
      <c r="R51" s="15"/>
      <c r="S51" s="15"/>
      <c r="T51" s="15"/>
      <c r="X51" s="22">
        <v>75</v>
      </c>
      <c r="Y51" s="4" cm="1">
        <f t="array" ref="Y51">_xlfn.IFS(AND($C$69="Yes", $C$80="Yes"),1/((1/AH51)+(1/AM51)+(1/AR51)), AND($C$69="Yes", $C$80="No"), 1/((1/AH51)+(1/AM51)), AND($C$69="No", $C$80="Yes"), 1/((1/AH51)+(1/AR51)), AND($C$69="No", $C$80="No"), 1/(1/AH51))</f>
        <v>31796.012992129563</v>
      </c>
      <c r="Z51" s="25">
        <f t="shared" si="0"/>
        <v>9.5231759468817092</v>
      </c>
      <c r="AA51" s="25">
        <f t="shared" si="14"/>
        <v>3.2727272727272729</v>
      </c>
      <c r="AB51" s="25">
        <f t="shared" si="1"/>
        <v>87.272727272727309</v>
      </c>
      <c r="AC51" s="25">
        <f t="shared" si="2"/>
        <v>4</v>
      </c>
      <c r="AE51" s="26">
        <f t="shared" si="3"/>
        <v>32250.241761275651</v>
      </c>
      <c r="AF51" s="27">
        <f t="shared" si="4"/>
        <v>2.0195952773077243E-5</v>
      </c>
      <c r="AG51" s="28">
        <f t="shared" si="5"/>
        <v>0.7142857142857143</v>
      </c>
      <c r="AH51" s="29">
        <f t="shared" si="15"/>
        <v>32250.241748989782</v>
      </c>
      <c r="AI51" s="11"/>
      <c r="AJ51" s="26">
        <f t="shared" si="6"/>
        <v>45150.338465785913</v>
      </c>
      <c r="AK51" s="27">
        <f t="shared" si="7"/>
        <v>2.3561944901923449E-3</v>
      </c>
      <c r="AL51" s="29">
        <f t="shared" si="8"/>
        <v>60</v>
      </c>
      <c r="AM51" s="29">
        <f t="shared" si="9"/>
        <v>1.0000000000000001E-9</v>
      </c>
      <c r="AN51" s="9"/>
      <c r="AO51" s="26">
        <f t="shared" si="10"/>
        <v>2257516.9232892958</v>
      </c>
      <c r="AP51" s="27">
        <f t="shared" si="11"/>
        <v>1.4137166941154069E-5</v>
      </c>
      <c r="AQ51" s="29">
        <f t="shared" si="12"/>
        <v>0.5</v>
      </c>
      <c r="AR51" s="29">
        <f t="shared" si="13"/>
        <v>2257516.9232752142</v>
      </c>
      <c r="AS51" s="9"/>
    </row>
    <row r="52" spans="2:45" ht="15.6" x14ac:dyDescent="0.35">
      <c r="B52" s="2" t="s">
        <v>346</v>
      </c>
      <c r="C52" s="52">
        <f>(1.21*C31*0.000000001*POWER(C40*0.01*(C38/C41),2))/POWER(C29/1000,2)*1000000</f>
        <v>6.5646701388888875</v>
      </c>
      <c r="D52" s="3" t="s">
        <v>8</v>
      </c>
      <c r="L52" s="15"/>
      <c r="M52" s="15"/>
      <c r="N52" s="15"/>
      <c r="O52" s="15"/>
      <c r="P52" s="15"/>
      <c r="Q52" s="15"/>
      <c r="R52" s="15"/>
      <c r="S52" s="15"/>
      <c r="T52" s="15"/>
      <c r="X52" s="22">
        <v>80</v>
      </c>
      <c r="Y52" s="4" cm="1">
        <f t="array" ref="Y52">_xlfn.IFS(AND($C$69="Yes", $C$80="Yes"),1/((1/AH52)+(1/AM52)+(1/AR52)), AND($C$69="Yes", $C$80="No"), 1/((1/AH52)+(1/AM52)), AND($C$69="No", $C$80="Yes"), 1/((1/AH52)+(1/AR52)), AND($C$69="No", $C$80="No"), 1/(1/AH52))</f>
        <v>29808.76217857857</v>
      </c>
      <c r="Z52" s="25">
        <f t="shared" si="0"/>
        <v>9.5231759468817092</v>
      </c>
      <c r="AA52" s="25">
        <f t="shared" si="14"/>
        <v>3.2727272727272729</v>
      </c>
      <c r="AB52" s="25">
        <f t="shared" si="1"/>
        <v>87.272727272727309</v>
      </c>
      <c r="AC52" s="25">
        <f t="shared" si="2"/>
        <v>4</v>
      </c>
      <c r="AE52" s="26">
        <f t="shared" si="3"/>
        <v>30234.601651195921</v>
      </c>
      <c r="AF52" s="27">
        <f t="shared" si="4"/>
        <v>2.1542349624615725E-5</v>
      </c>
      <c r="AG52" s="28">
        <f t="shared" si="5"/>
        <v>0.7142857142857143</v>
      </c>
      <c r="AH52" s="29">
        <f t="shared" si="15"/>
        <v>30234.601638090993</v>
      </c>
      <c r="AI52" s="11"/>
      <c r="AJ52" s="26">
        <f t="shared" si="6"/>
        <v>42328.442311674291</v>
      </c>
      <c r="AK52" s="27">
        <f t="shared" si="7"/>
        <v>2.5132741228718345E-3</v>
      </c>
      <c r="AL52" s="29">
        <f t="shared" si="8"/>
        <v>60</v>
      </c>
      <c r="AM52" s="29">
        <f t="shared" si="9"/>
        <v>1.0000000000000001E-9</v>
      </c>
      <c r="AN52" s="9"/>
      <c r="AO52" s="26">
        <f t="shared" si="10"/>
        <v>2116422.115583715</v>
      </c>
      <c r="AP52" s="27">
        <f t="shared" si="11"/>
        <v>1.5079644737231007E-5</v>
      </c>
      <c r="AQ52" s="29">
        <f t="shared" si="12"/>
        <v>0.5</v>
      </c>
      <c r="AR52" s="29">
        <f t="shared" si="13"/>
        <v>2116422.1155686947</v>
      </c>
      <c r="AS52" s="9"/>
    </row>
    <row r="53" spans="2:45" ht="15.6" x14ac:dyDescent="0.35">
      <c r="B53" s="2" t="s">
        <v>348</v>
      </c>
      <c r="C53" s="52">
        <f>1000/(2*PI()*C52*0.000001*C51*1000)</f>
        <v>87.272727272727309</v>
      </c>
      <c r="D53" s="4" t="s">
        <v>21</v>
      </c>
      <c r="L53" s="15"/>
      <c r="M53" s="15"/>
      <c r="N53" s="15"/>
      <c r="O53" s="15"/>
      <c r="P53" s="15"/>
      <c r="Q53" s="15"/>
      <c r="R53" s="15"/>
      <c r="S53" s="15"/>
      <c r="T53" s="15"/>
      <c r="X53" s="22">
        <v>85</v>
      </c>
      <c r="Y53" s="4" cm="1">
        <f t="array" ref="Y53">_xlfn.IFS(AND($C$69="Yes", $C$80="Yes"),1/((1/AH53)+(1/AM53)+(1/AR53)), AND($C$69="Yes", $C$80="No"), 1/((1/AH53)+(1/AM53)), AND($C$69="No", $C$80="Yes"), 1/((1/AH53)+(1/AR53)), AND($C$69="No", $C$80="No"), 1/(1/AH53))</f>
        <v>28055.30557829282</v>
      </c>
      <c r="Z53" s="25">
        <f t="shared" si="0"/>
        <v>9.5231759468817092</v>
      </c>
      <c r="AA53" s="25">
        <f t="shared" si="14"/>
        <v>3.2727272727272729</v>
      </c>
      <c r="AB53" s="25">
        <f t="shared" si="1"/>
        <v>87.272727272727309</v>
      </c>
      <c r="AC53" s="25">
        <f t="shared" si="2"/>
        <v>4</v>
      </c>
      <c r="AE53" s="26">
        <f t="shared" si="3"/>
        <v>28456.095671713807</v>
      </c>
      <c r="AF53" s="27">
        <f t="shared" si="4"/>
        <v>2.2888746476154207E-5</v>
      </c>
      <c r="AG53" s="28">
        <f t="shared" si="5"/>
        <v>0.7142857142857143</v>
      </c>
      <c r="AH53" s="29">
        <f t="shared" si="15"/>
        <v>28456.095657789818</v>
      </c>
      <c r="AI53" s="11"/>
      <c r="AJ53" s="26">
        <f t="shared" si="6"/>
        <v>39838.533940399342</v>
      </c>
      <c r="AK53" s="27">
        <f t="shared" si="7"/>
        <v>2.6703537555513245E-3</v>
      </c>
      <c r="AL53" s="29">
        <f t="shared" si="8"/>
        <v>60</v>
      </c>
      <c r="AM53" s="29">
        <f t="shared" si="9"/>
        <v>1.0000000000000001E-9</v>
      </c>
      <c r="AN53" s="9"/>
      <c r="AO53" s="26">
        <f t="shared" si="10"/>
        <v>1991926.697019967</v>
      </c>
      <c r="AP53" s="27">
        <f t="shared" si="11"/>
        <v>1.6022122533307946E-5</v>
      </c>
      <c r="AQ53" s="29">
        <f t="shared" si="12"/>
        <v>0.5</v>
      </c>
      <c r="AR53" s="29">
        <f t="shared" si="13"/>
        <v>1991926.6970040079</v>
      </c>
      <c r="AS53" s="9"/>
    </row>
    <row r="54" spans="2:45" x14ac:dyDescent="0.3">
      <c r="L54" s="15"/>
      <c r="M54" s="15"/>
      <c r="N54" s="15"/>
      <c r="O54" s="15"/>
      <c r="P54" s="15"/>
      <c r="Q54" s="15"/>
      <c r="R54" s="15"/>
      <c r="S54" s="15"/>
      <c r="T54" s="15"/>
      <c r="X54" s="22">
        <v>90</v>
      </c>
      <c r="Y54" s="4" cm="1">
        <f t="array" ref="Y54">_xlfn.IFS(AND($C$69="Yes", $C$80="Yes"),1/((1/AH54)+(1/AM54)+(1/AR54)), AND($C$69="Yes", $C$80="No"), 1/((1/AH54)+(1/AM54)), AND($C$69="No", $C$80="Yes"), 1/((1/AH54)+(1/AR54)), AND($C$69="No", $C$80="No"), 1/(1/AH54))</f>
        <v>26496.677489061462</v>
      </c>
      <c r="Z54" s="25">
        <f t="shared" si="0"/>
        <v>9.5231759468817092</v>
      </c>
      <c r="AA54" s="25">
        <f t="shared" si="14"/>
        <v>3.2727272727272729</v>
      </c>
      <c r="AB54" s="25">
        <f t="shared" si="1"/>
        <v>87.272727272727309</v>
      </c>
      <c r="AC54" s="25">
        <f t="shared" si="2"/>
        <v>4</v>
      </c>
      <c r="AE54" s="26">
        <f t="shared" si="3"/>
        <v>26875.201467729705</v>
      </c>
      <c r="AF54" s="27">
        <f t="shared" si="4"/>
        <v>2.4235143327692689E-5</v>
      </c>
      <c r="AG54" s="28">
        <f t="shared" si="5"/>
        <v>0.7142857142857143</v>
      </c>
      <c r="AH54" s="29">
        <f t="shared" si="15"/>
        <v>26875.201452986661</v>
      </c>
      <c r="AI54" s="11"/>
      <c r="AJ54" s="26">
        <f t="shared" si="6"/>
        <v>37625.282054821597</v>
      </c>
      <c r="AK54" s="27">
        <f t="shared" si="7"/>
        <v>2.8274333882308137E-3</v>
      </c>
      <c r="AL54" s="29">
        <f t="shared" si="8"/>
        <v>60</v>
      </c>
      <c r="AM54" s="29">
        <f t="shared" si="9"/>
        <v>1.0000000000000001E-9</v>
      </c>
      <c r="AN54" s="9"/>
      <c r="AO54" s="26">
        <f t="shared" si="10"/>
        <v>1881264.1027410799</v>
      </c>
      <c r="AP54" s="27">
        <f t="shared" si="11"/>
        <v>1.6964600329384882E-5</v>
      </c>
      <c r="AQ54" s="29">
        <f t="shared" si="12"/>
        <v>0.5</v>
      </c>
      <c r="AR54" s="29">
        <f t="shared" si="13"/>
        <v>1881264.102724182</v>
      </c>
      <c r="AS54" s="9"/>
    </row>
    <row r="55" spans="2:45" ht="15.6" x14ac:dyDescent="0.35">
      <c r="B55" s="2" t="s">
        <v>407</v>
      </c>
      <c r="C55" s="52">
        <f>0.35/C32*1000</f>
        <v>34.999999999999993</v>
      </c>
      <c r="D55" s="4" t="s">
        <v>87</v>
      </c>
      <c r="L55" s="15"/>
      <c r="M55" s="15"/>
      <c r="N55" s="15"/>
      <c r="O55" s="15"/>
      <c r="P55" s="15"/>
      <c r="Q55" s="15"/>
      <c r="R55" s="15"/>
      <c r="S55" s="15"/>
      <c r="T55" s="15"/>
      <c r="X55" s="22">
        <v>95</v>
      </c>
      <c r="Y55" s="4" cm="1">
        <f t="array" ref="Y55">_xlfn.IFS(AND($C$69="Yes", $C$80="Yes"),1/((1/AH55)+(1/AM55)+(1/AR55)), AND($C$69="Yes", $C$80="No"), 1/((1/AH55)+(1/AM55)), AND($C$69="No", $C$80="Yes"), 1/((1/AH55)+(1/AR55)), AND($C$69="No", $C$80="No"), 1/(1/AH55))</f>
        <v>25102.115514402212</v>
      </c>
      <c r="Z55" s="25">
        <f t="shared" si="0"/>
        <v>9.5231759468817092</v>
      </c>
      <c r="AA55" s="25">
        <f t="shared" si="14"/>
        <v>3.2727272727272729</v>
      </c>
      <c r="AB55" s="25">
        <f t="shared" si="1"/>
        <v>87.272727272727309</v>
      </c>
      <c r="AC55" s="25">
        <f t="shared" si="2"/>
        <v>4</v>
      </c>
      <c r="AE55" s="26">
        <f t="shared" si="3"/>
        <v>25460.717179954459</v>
      </c>
      <c r="AF55" s="27">
        <f t="shared" si="4"/>
        <v>2.5581540179231174E-5</v>
      </c>
      <c r="AG55" s="28">
        <f t="shared" si="5"/>
        <v>0.7142857142857143</v>
      </c>
      <c r="AH55" s="29">
        <f t="shared" si="15"/>
        <v>25460.717164392358</v>
      </c>
      <c r="AI55" s="11"/>
      <c r="AJ55" s="26">
        <f t="shared" si="6"/>
        <v>35645.004051936245</v>
      </c>
      <c r="AK55" s="27">
        <f t="shared" si="7"/>
        <v>2.9845130209103037E-3</v>
      </c>
      <c r="AL55" s="29">
        <f t="shared" si="8"/>
        <v>60</v>
      </c>
      <c r="AM55" s="29">
        <f t="shared" si="9"/>
        <v>1.0000000000000001E-9</v>
      </c>
      <c r="AN55" s="9"/>
      <c r="AO55" s="26">
        <f t="shared" si="10"/>
        <v>1782250.202596812</v>
      </c>
      <c r="AP55" s="27">
        <f t="shared" si="11"/>
        <v>1.7907078125461819E-5</v>
      </c>
      <c r="AQ55" s="29">
        <f t="shared" si="12"/>
        <v>0.5</v>
      </c>
      <c r="AR55" s="29">
        <f t="shared" si="13"/>
        <v>1782250.2025789751</v>
      </c>
      <c r="AS55" s="9"/>
    </row>
    <row r="56" spans="2:45" x14ac:dyDescent="0.3">
      <c r="B56" s="2" t="s">
        <v>370</v>
      </c>
      <c r="C56" s="63">
        <f>(C30*0.001*C32*0.000000001)/(C37/C41)*1000000000</f>
        <v>0.04</v>
      </c>
      <c r="D56" s="4" t="s">
        <v>5</v>
      </c>
      <c r="E56" s="1"/>
      <c r="L56" s="15"/>
      <c r="M56" s="15"/>
      <c r="N56" s="15"/>
      <c r="O56" s="15"/>
      <c r="P56" s="15"/>
      <c r="Q56" s="15"/>
      <c r="R56" s="15"/>
      <c r="S56" s="15"/>
      <c r="T56" s="15"/>
      <c r="X56" s="22">
        <v>100</v>
      </c>
      <c r="Y56" s="4" cm="1">
        <f t="array" ref="Y56">_xlfn.IFS(AND($C$69="Yes", $C$80="Yes"),1/((1/AH56)+(1/AM56)+(1/AR56)), AND($C$69="Yes", $C$80="No"), 1/((1/AH56)+(1/AM56)), AND($C$69="No", $C$80="Yes"), 1/((1/AH56)+(1/AR56)), AND($C$69="No", $C$80="No"), 1/(1/AH56))</f>
        <v>23847.009737129247</v>
      </c>
      <c r="Z56" s="25">
        <f t="shared" si="0"/>
        <v>9.5231759468817092</v>
      </c>
      <c r="AA56" s="25">
        <f t="shared" si="14"/>
        <v>3.2727272727272729</v>
      </c>
      <c r="AB56" s="25">
        <f t="shared" si="1"/>
        <v>87.272727272727309</v>
      </c>
      <c r="AC56" s="25">
        <f t="shared" si="2"/>
        <v>4</v>
      </c>
      <c r="AE56" s="26">
        <f t="shared" si="3"/>
        <v>24187.681320956737</v>
      </c>
      <c r="AF56" s="27">
        <f t="shared" si="4"/>
        <v>2.6927937030769659E-5</v>
      </c>
      <c r="AG56" s="28">
        <f t="shared" si="5"/>
        <v>0.7142857142857143</v>
      </c>
      <c r="AH56" s="29">
        <f t="shared" si="15"/>
        <v>24187.681304575577</v>
      </c>
      <c r="AI56" s="11"/>
      <c r="AJ56" s="26">
        <f t="shared" si="6"/>
        <v>33862.753849339431</v>
      </c>
      <c r="AK56" s="27">
        <f t="shared" si="7"/>
        <v>3.1415926535897933E-3</v>
      </c>
      <c r="AL56" s="29">
        <f t="shared" si="8"/>
        <v>60</v>
      </c>
      <c r="AM56" s="29">
        <f t="shared" si="9"/>
        <v>1.0000000000000001E-9</v>
      </c>
      <c r="AN56" s="9"/>
      <c r="AO56" s="26">
        <f t="shared" si="10"/>
        <v>1693137.6924669717</v>
      </c>
      <c r="AP56" s="27">
        <f t="shared" si="11"/>
        <v>1.8849555921538758E-5</v>
      </c>
      <c r="AQ56" s="29">
        <f t="shared" si="12"/>
        <v>0.5</v>
      </c>
      <c r="AR56" s="29">
        <f t="shared" si="13"/>
        <v>1693137.692448196</v>
      </c>
      <c r="AS56" s="9"/>
    </row>
    <row r="57" spans="2:45" ht="15.6" x14ac:dyDescent="0.35">
      <c r="B57" s="2" t="s">
        <v>349</v>
      </c>
      <c r="C57" s="47">
        <f>C30/(C37/C41)</f>
        <v>4</v>
      </c>
      <c r="D57" s="4" t="s">
        <v>21</v>
      </c>
      <c r="E57" s="1"/>
      <c r="L57" s="15"/>
      <c r="M57" s="15"/>
      <c r="N57" s="15"/>
      <c r="O57" s="15"/>
      <c r="P57" s="15"/>
      <c r="Q57" s="15"/>
      <c r="R57" s="15"/>
      <c r="S57" s="15"/>
      <c r="T57" s="15"/>
      <c r="X57" s="22">
        <v>150</v>
      </c>
      <c r="Y57" s="4" cm="1">
        <f t="array" ref="Y57">_xlfn.IFS(AND($C$69="Yes", $C$80="Yes"),1/((1/AH57)+(1/AM57)+(1/AR57)), AND($C$69="Yes", $C$80="No"), 1/((1/AH57)+(1/AM57)), AND($C$69="No", $C$80="Yes"), 1/((1/AH57)+(1/AR57)), AND($C$69="No", $C$80="No"), 1/(1/AH57))</f>
        <v>15898.00647814725</v>
      </c>
      <c r="Z57" s="25">
        <f t="shared" si="0"/>
        <v>9.5231759468817092</v>
      </c>
      <c r="AA57" s="25">
        <f t="shared" si="14"/>
        <v>3.2727272727272729</v>
      </c>
      <c r="AB57" s="25">
        <f t="shared" si="1"/>
        <v>87.272727272727309</v>
      </c>
      <c r="AC57" s="25">
        <f t="shared" si="2"/>
        <v>4</v>
      </c>
      <c r="AE57" s="26">
        <f t="shared" si="3"/>
        <v>16125.120880637825</v>
      </c>
      <c r="AF57" s="27">
        <f t="shared" si="4"/>
        <v>4.0391905546154487E-5</v>
      </c>
      <c r="AG57" s="28">
        <f t="shared" si="5"/>
        <v>0.7142857142857143</v>
      </c>
      <c r="AH57" s="29">
        <f t="shared" si="15"/>
        <v>16125.120856066082</v>
      </c>
      <c r="AI57" s="11"/>
      <c r="AJ57" s="26">
        <f t="shared" si="6"/>
        <v>22575.169232892957</v>
      </c>
      <c r="AK57" s="27">
        <f t="shared" si="7"/>
        <v>4.7123889803846897E-3</v>
      </c>
      <c r="AL57" s="29">
        <f t="shared" si="8"/>
        <v>60</v>
      </c>
      <c r="AM57" s="29">
        <f t="shared" si="9"/>
        <v>1.0000000000000001E-9</v>
      </c>
      <c r="AN57" s="9"/>
      <c r="AO57" s="26">
        <f t="shared" si="10"/>
        <v>1128758.4616446479</v>
      </c>
      <c r="AP57" s="27">
        <f t="shared" si="11"/>
        <v>2.8274333882308137E-5</v>
      </c>
      <c r="AQ57" s="29">
        <f t="shared" si="12"/>
        <v>0.5</v>
      </c>
      <c r="AR57" s="29">
        <f t="shared" si="13"/>
        <v>1128758.4616164844</v>
      </c>
      <c r="AS57" s="9"/>
    </row>
    <row r="58" spans="2:45" x14ac:dyDescent="0.3">
      <c r="X58" s="22">
        <v>200</v>
      </c>
      <c r="Y58" s="4" cm="1">
        <f t="array" ref="Y58">_xlfn.IFS(AND($C$69="Yes", $C$80="Yes"),1/((1/AH58)+(1/AM58)+(1/AR58)), AND($C$69="Yes", $C$80="No"), 1/((1/AH58)+(1/AM58)), AND($C$69="No", $C$80="Yes"), 1/((1/AH58)+(1/AR58)), AND($C$69="No", $C$80="No"), 1/(1/AH58))</f>
        <v>11923.50484467458</v>
      </c>
      <c r="Z58" s="25">
        <f t="shared" si="0"/>
        <v>9.5231759468817092</v>
      </c>
      <c r="AA58" s="25">
        <f t="shared" si="14"/>
        <v>3.2727272727272729</v>
      </c>
      <c r="AB58" s="25">
        <f t="shared" si="1"/>
        <v>87.272727272727309</v>
      </c>
      <c r="AC58" s="25">
        <f t="shared" si="2"/>
        <v>4</v>
      </c>
      <c r="AE58" s="26">
        <f t="shared" si="3"/>
        <v>12093.840660478369</v>
      </c>
      <c r="AF58" s="27">
        <f t="shared" si="4"/>
        <v>5.3855874061539318E-5</v>
      </c>
      <c r="AG58" s="28">
        <f t="shared" si="5"/>
        <v>0.7142857142857143</v>
      </c>
      <c r="AH58" s="29">
        <f t="shared" si="15"/>
        <v>12093.840627716045</v>
      </c>
      <c r="AI58" s="11"/>
      <c r="AJ58" s="26">
        <f t="shared" si="6"/>
        <v>16931.376924669716</v>
      </c>
      <c r="AK58" s="27">
        <f t="shared" si="7"/>
        <v>6.2831853071795866E-3</v>
      </c>
      <c r="AL58" s="29">
        <f t="shared" si="8"/>
        <v>60</v>
      </c>
      <c r="AM58" s="29">
        <f t="shared" si="9"/>
        <v>1.0000000000000001E-9</v>
      </c>
      <c r="AN58" s="9"/>
      <c r="AO58" s="26">
        <f t="shared" si="10"/>
        <v>846568.84623348585</v>
      </c>
      <c r="AP58" s="27">
        <f t="shared" si="11"/>
        <v>3.7699111843077517E-5</v>
      </c>
      <c r="AQ58" s="29">
        <f t="shared" si="12"/>
        <v>0.5</v>
      </c>
      <c r="AR58" s="29">
        <f t="shared" si="13"/>
        <v>846568.84619593434</v>
      </c>
      <c r="AS58" s="9"/>
    </row>
    <row r="59" spans="2:45" ht="15.6" x14ac:dyDescent="0.35">
      <c r="B59" s="2" t="s">
        <v>133</v>
      </c>
      <c r="C59" s="55">
        <v>4.7</v>
      </c>
      <c r="D59" s="10" t="s">
        <v>8</v>
      </c>
      <c r="X59" s="22">
        <v>250</v>
      </c>
      <c r="Y59" s="4" cm="1">
        <f t="array" ref="Y59">_xlfn.IFS(AND($C$69="Yes", $C$80="Yes"),1/((1/AH59)+(1/AM59)+(1/AR59)), AND($C$69="Yes", $C$80="No"), 1/((1/AH59)+(1/AM59)), AND($C$69="No", $C$80="Yes"), 1/((1/AH59)+(1/AR59)), AND($C$69="No", $C$80="No"), 1/(1/AH59))</f>
        <v>9538.8038614056386</v>
      </c>
      <c r="Z59" s="25">
        <f t="shared" si="0"/>
        <v>9.5231759468817092</v>
      </c>
      <c r="AA59" s="25">
        <f t="shared" si="14"/>
        <v>3.2727272727272729</v>
      </c>
      <c r="AB59" s="25">
        <f t="shared" si="1"/>
        <v>87.272727272727309</v>
      </c>
      <c r="AC59" s="25">
        <f t="shared" si="2"/>
        <v>4</v>
      </c>
      <c r="AE59" s="26">
        <f t="shared" si="3"/>
        <v>9675.072528382696</v>
      </c>
      <c r="AF59" s="27">
        <f t="shared" si="4"/>
        <v>6.7319842576924136E-5</v>
      </c>
      <c r="AG59" s="28">
        <f t="shared" si="5"/>
        <v>0.7142857142857143</v>
      </c>
      <c r="AH59" s="29">
        <f t="shared" si="15"/>
        <v>9675.0724874297903</v>
      </c>
      <c r="AI59" s="11"/>
      <c r="AJ59" s="26">
        <f t="shared" si="6"/>
        <v>13545.101539735773</v>
      </c>
      <c r="AK59" s="27">
        <f t="shared" si="7"/>
        <v>7.8539816339744817E-3</v>
      </c>
      <c r="AL59" s="29">
        <f t="shared" si="8"/>
        <v>60</v>
      </c>
      <c r="AM59" s="29">
        <f t="shared" si="9"/>
        <v>1.0000000000000001E-9</v>
      </c>
      <c r="AN59" s="9"/>
      <c r="AO59" s="26">
        <f t="shared" si="10"/>
        <v>677255.07698678877</v>
      </c>
      <c r="AP59" s="27">
        <f t="shared" si="11"/>
        <v>4.7123889803846892E-5</v>
      </c>
      <c r="AQ59" s="29">
        <f t="shared" si="12"/>
        <v>0.5</v>
      </c>
      <c r="AR59" s="29">
        <f t="shared" si="13"/>
        <v>677255.07693984942</v>
      </c>
      <c r="AS59" s="9"/>
    </row>
    <row r="60" spans="2:45" x14ac:dyDescent="0.3">
      <c r="B60" s="2" t="s">
        <v>89</v>
      </c>
      <c r="C60" s="55">
        <v>10</v>
      </c>
      <c r="D60" s="4" t="s">
        <v>21</v>
      </c>
      <c r="H60" s="2" t="s">
        <v>66</v>
      </c>
      <c r="I60" s="22" t="s">
        <v>64</v>
      </c>
      <c r="J60" s="23" t="s">
        <v>73</v>
      </c>
      <c r="X60" s="22">
        <v>300</v>
      </c>
      <c r="Y60" s="4" cm="1">
        <f t="array" ref="Y60">_xlfn.IFS(AND($C$69="Yes", $C$80="Yes"),1/((1/AH60)+(1/AM60)+(1/AR60)), AND($C$69="Yes", $C$80="No"), 1/((1/AH60)+(1/AM60)), AND($C$69="No", $C$80="Yes"), 1/((1/AH60)+(1/AR60)), AND($C$69="No", $C$80="No"), 1/(1/AH60))</f>
        <v>7949.0032032385625</v>
      </c>
      <c r="Z60" s="25">
        <f t="shared" si="0"/>
        <v>9.5231759468817092</v>
      </c>
      <c r="AA60" s="25">
        <f t="shared" si="14"/>
        <v>3.2727272727272729</v>
      </c>
      <c r="AB60" s="25">
        <f t="shared" si="1"/>
        <v>87.272727272727309</v>
      </c>
      <c r="AC60" s="25">
        <f t="shared" si="2"/>
        <v>4</v>
      </c>
      <c r="AE60" s="26">
        <f t="shared" si="3"/>
        <v>8062.5604403189127</v>
      </c>
      <c r="AF60" s="27">
        <f t="shared" si="4"/>
        <v>8.0783811092308974E-5</v>
      </c>
      <c r="AG60" s="28">
        <f t="shared" si="5"/>
        <v>0.7142857142857143</v>
      </c>
      <c r="AH60" s="29">
        <f t="shared" si="15"/>
        <v>8062.5603911754279</v>
      </c>
      <c r="AI60" s="11"/>
      <c r="AJ60" s="26">
        <f t="shared" si="6"/>
        <v>11287.584616446478</v>
      </c>
      <c r="AK60" s="27">
        <f t="shared" si="7"/>
        <v>9.4247779607693795E-3</v>
      </c>
      <c r="AL60" s="29">
        <f t="shared" si="8"/>
        <v>60</v>
      </c>
      <c r="AM60" s="29">
        <f t="shared" si="9"/>
        <v>1.0000000000000001E-9</v>
      </c>
      <c r="AN60" s="9"/>
      <c r="AO60" s="26">
        <f t="shared" si="10"/>
        <v>564379.23082232394</v>
      </c>
      <c r="AP60" s="27">
        <f t="shared" si="11"/>
        <v>5.6548667764616275E-5</v>
      </c>
      <c r="AQ60" s="29">
        <f t="shared" si="12"/>
        <v>0.5</v>
      </c>
      <c r="AR60" s="29">
        <f t="shared" si="13"/>
        <v>564379.23076599673</v>
      </c>
      <c r="AS60" s="9"/>
    </row>
    <row r="61" spans="2:45" x14ac:dyDescent="0.3">
      <c r="B61" s="2" t="s">
        <v>90</v>
      </c>
      <c r="C61" s="55">
        <v>0.6</v>
      </c>
      <c r="D61" s="4" t="s">
        <v>5</v>
      </c>
      <c r="H61" s="2" t="s">
        <v>68</v>
      </c>
      <c r="I61" s="22">
        <v>47</v>
      </c>
      <c r="J61" s="23">
        <v>47</v>
      </c>
      <c r="X61" s="22">
        <v>350</v>
      </c>
      <c r="Y61" s="4" cm="1">
        <f t="array" ref="Y61">_xlfn.IFS(AND($C$69="Yes", $C$80="Yes"),1/((1/AH61)+(1/AM61)+(1/AR61)), AND($C$69="Yes", $C$80="No"), 1/((1/AH61)+(1/AM61)), AND($C$69="No", $C$80="Yes"), 1/((1/AH61)+(1/AR61)), AND($C$69="No", $C$80="No"), 1/(1/AH61))</f>
        <v>6813.4313022725519</v>
      </c>
      <c r="Z61" s="25">
        <f t="shared" ref="Z61:Z92" si="16">$C$49</f>
        <v>9.5231759468817092</v>
      </c>
      <c r="AA61" s="25">
        <f t="shared" si="14"/>
        <v>3.2727272727272729</v>
      </c>
      <c r="AB61" s="25">
        <f t="shared" ref="AB61:AB92" si="17">$C$53</f>
        <v>87.272727272727309</v>
      </c>
      <c r="AC61" s="25">
        <f t="shared" ref="AC61:AC92" si="18">$C$57</f>
        <v>4</v>
      </c>
      <c r="AE61" s="26">
        <f t="shared" ref="AE61:AE92" si="19">1000/(2*PI()*$X61*$C$62*$C$59*0.000001)</f>
        <v>6910.7660917019257</v>
      </c>
      <c r="AF61" s="27">
        <f t="shared" ref="AF61:AF92" si="20">2*PI()*$X61*((0.000000001*$C$61)/$C$62)*1000</f>
        <v>9.4247779607693785E-5</v>
      </c>
      <c r="AG61" s="28">
        <f t="shared" ref="AG61:AG92" si="21">($C$60)/$C$62</f>
        <v>0.7142857142857143</v>
      </c>
      <c r="AH61" s="29">
        <f t="shared" si="15"/>
        <v>6910.7660343678599</v>
      </c>
      <c r="AI61" s="11"/>
      <c r="AJ61" s="26">
        <f t="shared" ref="AJ61:AJ92" si="22">1000/(2*PI()*$X61*$C$73*$C$70*0.000001)</f>
        <v>9675.072528382696</v>
      </c>
      <c r="AK61" s="27">
        <f t="shared" ref="AK61:AK92" si="23">2*PI()*$X61*((0.000000001*$C$72)/$C$73)*1000</f>
        <v>1.0995574287564274E-2</v>
      </c>
      <c r="AL61" s="29">
        <f t="shared" ref="AL61:AL92" si="24">($C$71)/$C$73</f>
        <v>60</v>
      </c>
      <c r="AM61" s="29">
        <f t="shared" ref="AM61:AM92" si="25">IF($C$69="Yes", SQRT(AL61^(2)+ABS(AJ61-AK61)^(2)), 0.000000001)</f>
        <v>1.0000000000000001E-9</v>
      </c>
      <c r="AN61" s="9"/>
      <c r="AO61" s="26">
        <f t="shared" ref="AO61:AO92" si="26">1000/(2*PI()*$X61*$C$84*$C$81*0.000001)</f>
        <v>483753.62641913473</v>
      </c>
      <c r="AP61" s="27">
        <f t="shared" ref="AP61:AP92" si="27">2*PI()*$X61*((0.000000001*$C$83)/$C$84)*1000</f>
        <v>6.5973445725385651E-5</v>
      </c>
      <c r="AQ61" s="29">
        <f t="shared" ref="AQ61:AQ92" si="28">($C$82)/$C$84</f>
        <v>0.5</v>
      </c>
      <c r="AR61" s="29">
        <f t="shared" ref="AR61:AR92" si="29">IF($C$80="Yes", SQRT(AQ61^(2)+ABS(AO61-AP61)^(2)), 0.000000001)</f>
        <v>483753.62635341968</v>
      </c>
      <c r="AS61" s="9"/>
    </row>
    <row r="62" spans="2:45" x14ac:dyDescent="0.3">
      <c r="B62" s="2" t="s">
        <v>75</v>
      </c>
      <c r="C62" s="55">
        <v>14</v>
      </c>
      <c r="D62" s="4"/>
      <c r="H62" s="2" t="s">
        <v>67</v>
      </c>
      <c r="I62" s="22">
        <v>60</v>
      </c>
      <c r="J62" s="23">
        <v>65</v>
      </c>
      <c r="X62" s="22">
        <v>400</v>
      </c>
      <c r="Y62" s="4" cm="1">
        <f t="array" ref="Y62">_xlfn.IFS(AND($C$69="Yes", $C$80="Yes"),1/((1/AH62)+(1/AM62)+(1/AR62)), AND($C$69="Yes", $C$80="No"), 1/((1/AH62)+(1/AM62)), AND($C$69="No", $C$80="Yes"), 1/((1/AH62)+(1/AR62)), AND($C$69="No", $C$80="No"), 1/(1/AH62))</f>
        <v>5961.7523745572053</v>
      </c>
      <c r="Z62" s="25">
        <f t="shared" si="16"/>
        <v>9.5231759468817092</v>
      </c>
      <c r="AA62" s="25">
        <f t="shared" si="14"/>
        <v>3.2727272727272729</v>
      </c>
      <c r="AB62" s="25">
        <f t="shared" si="17"/>
        <v>87.272727272727309</v>
      </c>
      <c r="AC62" s="25">
        <f t="shared" si="18"/>
        <v>4</v>
      </c>
      <c r="AE62" s="26">
        <f t="shared" si="19"/>
        <v>6046.9203302391843</v>
      </c>
      <c r="AF62" s="27">
        <f t="shared" si="20"/>
        <v>1.0771174812307864E-4</v>
      </c>
      <c r="AG62" s="28">
        <f t="shared" si="21"/>
        <v>0.7142857142857143</v>
      </c>
      <c r="AH62" s="29">
        <f t="shared" si="15"/>
        <v>6046.9202647145376</v>
      </c>
      <c r="AI62" s="11"/>
      <c r="AJ62" s="26">
        <f t="shared" si="22"/>
        <v>8465.6884623348578</v>
      </c>
      <c r="AK62" s="27">
        <f t="shared" si="23"/>
        <v>1.2566370614359173E-2</v>
      </c>
      <c r="AL62" s="29">
        <f t="shared" si="24"/>
        <v>60</v>
      </c>
      <c r="AM62" s="29">
        <f t="shared" si="25"/>
        <v>1.0000000000000001E-9</v>
      </c>
      <c r="AN62" s="9"/>
      <c r="AO62" s="26">
        <f t="shared" si="26"/>
        <v>423284.42311674292</v>
      </c>
      <c r="AP62" s="27">
        <f t="shared" si="27"/>
        <v>7.5398223686155033E-5</v>
      </c>
      <c r="AQ62" s="29">
        <f t="shared" si="28"/>
        <v>0.5</v>
      </c>
      <c r="AR62" s="29">
        <f t="shared" si="29"/>
        <v>423284.42304163997</v>
      </c>
      <c r="AS62" s="9"/>
    </row>
    <row r="63" spans="2:45" x14ac:dyDescent="0.3">
      <c r="B63" s="2" t="s">
        <v>63</v>
      </c>
      <c r="C63" s="43">
        <f>C62*C41</f>
        <v>28</v>
      </c>
      <c r="D63" s="10"/>
      <c r="H63" s="2" t="s">
        <v>69</v>
      </c>
      <c r="I63" s="22">
        <v>35</v>
      </c>
      <c r="J63" s="23">
        <v>25</v>
      </c>
      <c r="X63" s="22">
        <v>450</v>
      </c>
      <c r="Y63" s="4" cm="1">
        <f t="array" ref="Y63">_xlfn.IFS(AND($C$69="Yes", $C$80="Yes"),1/((1/AH63)+(1/AM63)+(1/AR63)), AND($C$69="Yes", $C$80="No"), 1/((1/AH63)+(1/AM63)), AND($C$69="No", $C$80="Yes"), 1/((1/AH63)+(1/AR63)), AND($C$69="No", $C$80="No"), 1/(1/AH63))</f>
        <v>5299.3354290089728</v>
      </c>
      <c r="Z63" s="25">
        <f t="shared" si="16"/>
        <v>9.5231759468817092</v>
      </c>
      <c r="AA63" s="25">
        <f t="shared" si="14"/>
        <v>3.2727272727272729</v>
      </c>
      <c r="AB63" s="25">
        <f t="shared" si="17"/>
        <v>87.272727272727309</v>
      </c>
      <c r="AC63" s="25">
        <f t="shared" si="18"/>
        <v>4</v>
      </c>
      <c r="AE63" s="26">
        <f t="shared" si="19"/>
        <v>5375.0402935459415</v>
      </c>
      <c r="AF63" s="27">
        <f t="shared" si="20"/>
        <v>1.2117571663846345E-4</v>
      </c>
      <c r="AG63" s="28">
        <f t="shared" si="21"/>
        <v>0.7142857142857143</v>
      </c>
      <c r="AH63" s="29">
        <f t="shared" si="15"/>
        <v>5375.0402198307156</v>
      </c>
      <c r="AI63" s="11"/>
      <c r="AJ63" s="26">
        <f t="shared" si="22"/>
        <v>7525.0564109643192</v>
      </c>
      <c r="AK63" s="27">
        <f t="shared" si="23"/>
        <v>1.4137166941154069E-2</v>
      </c>
      <c r="AL63" s="29">
        <f t="shared" si="24"/>
        <v>60</v>
      </c>
      <c r="AM63" s="29">
        <f t="shared" si="25"/>
        <v>1.0000000000000001E-9</v>
      </c>
      <c r="AN63" s="9"/>
      <c r="AO63" s="26">
        <f t="shared" si="26"/>
        <v>376252.820548216</v>
      </c>
      <c r="AP63" s="27">
        <f t="shared" si="27"/>
        <v>8.4823001646924416E-5</v>
      </c>
      <c r="AQ63" s="29">
        <f t="shared" si="28"/>
        <v>0.5</v>
      </c>
      <c r="AR63" s="29">
        <f t="shared" si="29"/>
        <v>376252.82046372519</v>
      </c>
      <c r="AS63" s="9"/>
    </row>
    <row r="64" spans="2:45" ht="15.6" x14ac:dyDescent="0.35">
      <c r="B64" s="2" t="s">
        <v>334</v>
      </c>
      <c r="C64" s="43">
        <f>C59*C62</f>
        <v>65.8</v>
      </c>
      <c r="D64" s="10" t="s">
        <v>8</v>
      </c>
      <c r="H64" s="2" t="s">
        <v>74</v>
      </c>
      <c r="I64" s="4"/>
      <c r="J64" s="23">
        <v>0.11899999999999999</v>
      </c>
      <c r="X64" s="22">
        <v>500</v>
      </c>
      <c r="Y64" s="4" cm="1">
        <f t="array" ref="Y64">_xlfn.IFS(AND($C$69="Yes", $C$80="Yes"),1/((1/AH64)+(1/AM64)+(1/AR64)), AND($C$69="Yes", $C$80="No"), 1/((1/AH64)+(1/AM64)), AND($C$69="No", $C$80="Yes"), 1/((1/AH64)+(1/AR64)), AND($C$69="No", $C$80="No"), 1/(1/AH64))</f>
        <v>4769.4018709777165</v>
      </c>
      <c r="Z64" s="25">
        <f t="shared" si="16"/>
        <v>9.5231759468817092</v>
      </c>
      <c r="AA64" s="25">
        <f t="shared" si="14"/>
        <v>3.2727272727272729</v>
      </c>
      <c r="AB64" s="25">
        <f t="shared" si="17"/>
        <v>87.272727272727309</v>
      </c>
      <c r="AC64" s="25">
        <f t="shared" si="18"/>
        <v>4</v>
      </c>
      <c r="AE64" s="26">
        <f t="shared" si="19"/>
        <v>4837.536264191348</v>
      </c>
      <c r="AF64" s="27">
        <f t="shared" si="20"/>
        <v>1.3463968515384827E-4</v>
      </c>
      <c r="AG64" s="28">
        <f t="shared" si="21"/>
        <v>0.7142857142857143</v>
      </c>
      <c r="AH64" s="29">
        <f t="shared" si="15"/>
        <v>4837.5361822855411</v>
      </c>
      <c r="AI64" s="11"/>
      <c r="AJ64" s="26">
        <f t="shared" si="22"/>
        <v>6772.5507698678866</v>
      </c>
      <c r="AK64" s="27">
        <f t="shared" si="23"/>
        <v>1.5707963267948963E-2</v>
      </c>
      <c r="AL64" s="29">
        <f t="shared" si="24"/>
        <v>60</v>
      </c>
      <c r="AM64" s="29">
        <f t="shared" si="25"/>
        <v>1.0000000000000001E-9</v>
      </c>
      <c r="AN64" s="9"/>
      <c r="AO64" s="26">
        <f t="shared" si="26"/>
        <v>338627.53849339439</v>
      </c>
      <c r="AP64" s="27">
        <f t="shared" si="27"/>
        <v>9.4247779607693785E-5</v>
      </c>
      <c r="AQ64" s="29">
        <f t="shared" si="28"/>
        <v>0.5</v>
      </c>
      <c r="AR64" s="29">
        <f t="shared" si="29"/>
        <v>338627.53839951573</v>
      </c>
      <c r="AS64" s="9"/>
    </row>
    <row r="65" spans="2:45" ht="15.6" x14ac:dyDescent="0.35">
      <c r="B65" s="2" t="s">
        <v>369</v>
      </c>
      <c r="C65" s="43">
        <f>C60/C62</f>
        <v>0.7142857142857143</v>
      </c>
      <c r="D65" s="4" t="s">
        <v>21</v>
      </c>
      <c r="H65" s="2" t="s">
        <v>70</v>
      </c>
      <c r="I65" s="23">
        <v>1.4870000000000001</v>
      </c>
      <c r="J65" s="23">
        <v>1.8340000000000001</v>
      </c>
      <c r="X65" s="22">
        <v>550</v>
      </c>
      <c r="Y65" s="4" cm="1">
        <f t="array" ref="Y65">_xlfn.IFS(AND($C$69="Yes", $C$80="Yes"),1/((1/AH65)+(1/AM65)+(1/AR65)), AND($C$69="Yes", $C$80="No"), 1/((1/AH65)+(1/AM65)), AND($C$69="No", $C$80="Yes"), 1/((1/AH65)+(1/AR65)), AND($C$69="No", $C$80="No"), 1/(1/AH65))</f>
        <v>4335.8198675042604</v>
      </c>
      <c r="Z65" s="25">
        <f t="shared" si="16"/>
        <v>9.5231759468817092</v>
      </c>
      <c r="AA65" s="25">
        <f t="shared" si="14"/>
        <v>3.2727272727272729</v>
      </c>
      <c r="AB65" s="25">
        <f t="shared" si="17"/>
        <v>87.272727272727309</v>
      </c>
      <c r="AC65" s="25">
        <f t="shared" si="18"/>
        <v>4</v>
      </c>
      <c r="AE65" s="26">
        <f t="shared" si="19"/>
        <v>4397.7602401739523</v>
      </c>
      <c r="AF65" s="27">
        <f t="shared" si="20"/>
        <v>1.481036536692331E-4</v>
      </c>
      <c r="AG65" s="28">
        <f t="shared" si="21"/>
        <v>0.7142857142857143</v>
      </c>
      <c r="AH65" s="29">
        <f t="shared" si="15"/>
        <v>4397.7601500775645</v>
      </c>
      <c r="AI65" s="11"/>
      <c r="AJ65" s="26">
        <f t="shared" si="22"/>
        <v>6156.8643362435341</v>
      </c>
      <c r="AK65" s="27">
        <f t="shared" si="23"/>
        <v>1.7278759594743863E-2</v>
      </c>
      <c r="AL65" s="29">
        <f t="shared" si="24"/>
        <v>60</v>
      </c>
      <c r="AM65" s="29">
        <f t="shared" si="25"/>
        <v>1.0000000000000001E-9</v>
      </c>
      <c r="AN65" s="9"/>
      <c r="AO65" s="26">
        <f t="shared" si="26"/>
        <v>307843.21681217663</v>
      </c>
      <c r="AP65" s="27">
        <f t="shared" si="27"/>
        <v>1.0367255756846317E-4</v>
      </c>
      <c r="AQ65" s="29">
        <f t="shared" si="28"/>
        <v>0.5</v>
      </c>
      <c r="AR65" s="29">
        <f t="shared" si="29"/>
        <v>307843.21670891013</v>
      </c>
      <c r="AS65" s="9"/>
    </row>
    <row r="66" spans="2:45" ht="15.6" x14ac:dyDescent="0.35">
      <c r="B66" s="2" t="s">
        <v>335</v>
      </c>
      <c r="C66" s="43">
        <f>C61/C62</f>
        <v>4.2857142857142858E-2</v>
      </c>
      <c r="D66" s="10" t="s">
        <v>5</v>
      </c>
      <c r="H66" s="2" t="s">
        <v>71</v>
      </c>
      <c r="I66" s="23" t="s">
        <v>65</v>
      </c>
      <c r="J66" s="23" t="s">
        <v>72</v>
      </c>
      <c r="X66" s="22">
        <v>600</v>
      </c>
      <c r="Y66" s="4" cm="1">
        <f t="array" ref="Y66">_xlfn.IFS(AND($C$69="Yes", $C$80="Yes"),1/((1/AH66)+(1/AM66)+(1/AR66)), AND($C$69="Yes", $C$80="No"), 1/((1/AH66)+(1/AM66)), AND($C$69="No", $C$80="Yes"), 1/((1/AH66)+(1/AR66)), AND($C$69="No", $C$80="No"), 1/(1/AH66))</f>
        <v>3974.5015299491561</v>
      </c>
      <c r="Z66" s="25">
        <f t="shared" si="16"/>
        <v>9.5231759468817092</v>
      </c>
      <c r="AA66" s="25">
        <f t="shared" si="14"/>
        <v>3.2727272727272729</v>
      </c>
      <c r="AB66" s="25">
        <f t="shared" si="17"/>
        <v>87.272727272727309</v>
      </c>
      <c r="AC66" s="25">
        <f t="shared" si="18"/>
        <v>4</v>
      </c>
      <c r="AE66" s="26">
        <f t="shared" si="19"/>
        <v>4031.2802201594563</v>
      </c>
      <c r="AF66" s="27">
        <f t="shared" si="20"/>
        <v>1.6156762218461795E-4</v>
      </c>
      <c r="AG66" s="28">
        <f t="shared" si="21"/>
        <v>0.7142857142857143</v>
      </c>
      <c r="AH66" s="29">
        <f t="shared" si="15"/>
        <v>4031.2801218724881</v>
      </c>
      <c r="AI66" s="11"/>
      <c r="AJ66" s="26">
        <f t="shared" si="22"/>
        <v>5643.7923082232392</v>
      </c>
      <c r="AK66" s="27">
        <f t="shared" si="23"/>
        <v>1.8849555921538759E-2</v>
      </c>
      <c r="AL66" s="29">
        <f t="shared" si="24"/>
        <v>60</v>
      </c>
      <c r="AM66" s="29">
        <f t="shared" si="25"/>
        <v>1.0000000000000001E-9</v>
      </c>
      <c r="AN66" s="9"/>
      <c r="AO66" s="26">
        <f t="shared" si="26"/>
        <v>282189.61541116197</v>
      </c>
      <c r="AP66" s="27">
        <f t="shared" si="27"/>
        <v>1.1309733552923255E-4</v>
      </c>
      <c r="AQ66" s="29">
        <f t="shared" si="28"/>
        <v>0.5</v>
      </c>
      <c r="AR66" s="29">
        <f t="shared" si="29"/>
        <v>282189.61529850762</v>
      </c>
      <c r="AS66" s="9"/>
    </row>
    <row r="67" spans="2:45" ht="15.6" x14ac:dyDescent="0.35">
      <c r="B67" s="2" t="s">
        <v>146</v>
      </c>
      <c r="C67" s="48">
        <f>1/(2*PI()*SQRT(C66*0.000000001*C64*0.000001))/1000</f>
        <v>2997.0609664098365</v>
      </c>
      <c r="D67" s="10" t="s">
        <v>88</v>
      </c>
      <c r="X67" s="22">
        <v>650</v>
      </c>
      <c r="Y67" s="4" cm="1">
        <f t="array" ref="Y67">_xlfn.IFS(AND($C$69="Yes", $C$80="Yes"),1/((1/AH67)+(1/AM67)+(1/AR67)), AND($C$69="Yes", $C$80="No"), 1/((1/AH67)+(1/AM67)), AND($C$69="No", $C$80="Yes"), 1/((1/AH67)+(1/AR67)), AND($C$69="No", $C$80="No"), 1/(1/AH67))</f>
        <v>3668.7706277158622</v>
      </c>
      <c r="Z67" s="25">
        <f t="shared" si="16"/>
        <v>9.5231759468817092</v>
      </c>
      <c r="AA67" s="25">
        <f t="shared" si="14"/>
        <v>3.2727272727272729</v>
      </c>
      <c r="AB67" s="25">
        <f t="shared" si="17"/>
        <v>87.272727272727309</v>
      </c>
      <c r="AC67" s="25">
        <f t="shared" si="18"/>
        <v>4</v>
      </c>
      <c r="AE67" s="26">
        <f t="shared" si="19"/>
        <v>3721.181741685652</v>
      </c>
      <c r="AF67" s="27">
        <f t="shared" si="20"/>
        <v>1.7503159070000274E-4</v>
      </c>
      <c r="AG67" s="28">
        <f t="shared" si="21"/>
        <v>0.7142857142857143</v>
      </c>
      <c r="AH67" s="29">
        <f t="shared" si="15"/>
        <v>3721.1816352081041</v>
      </c>
      <c r="AI67" s="11"/>
      <c r="AJ67" s="26">
        <f t="shared" si="22"/>
        <v>5209.6544383599139</v>
      </c>
      <c r="AK67" s="27">
        <f t="shared" si="23"/>
        <v>2.0420352248333655E-2</v>
      </c>
      <c r="AL67" s="29">
        <f t="shared" si="24"/>
        <v>60</v>
      </c>
      <c r="AM67" s="29">
        <f t="shared" si="25"/>
        <v>1.0000000000000001E-9</v>
      </c>
      <c r="AN67" s="9"/>
      <c r="AO67" s="26">
        <f t="shared" si="26"/>
        <v>260482.72191799569</v>
      </c>
      <c r="AP67" s="27">
        <f t="shared" si="27"/>
        <v>1.2252211349000192E-4</v>
      </c>
      <c r="AQ67" s="29">
        <f t="shared" si="28"/>
        <v>0.5</v>
      </c>
      <c r="AR67" s="29">
        <f t="shared" si="29"/>
        <v>260482.72179595346</v>
      </c>
      <c r="AS67" s="9"/>
    </row>
    <row r="68" spans="2:45" x14ac:dyDescent="0.3">
      <c r="G68" s="13"/>
      <c r="X68" s="22">
        <v>700</v>
      </c>
      <c r="Y68" s="4" cm="1">
        <f t="array" ref="Y68">_xlfn.IFS(AND($C$69="Yes", $C$80="Yes"),1/((1/AH68)+(1/AM68)+(1/AR68)), AND($C$69="Yes", $C$80="No"), 1/((1/AH68)+(1/AM68)), AND($C$69="No", $C$80="Yes"), 1/((1/AH68)+(1/AR68)), AND($C$69="No", $C$80="No"), 1/(1/AH68))</f>
        <v>3406.7155675211316</v>
      </c>
      <c r="Z68" s="25">
        <f t="shared" si="16"/>
        <v>9.5231759468817092</v>
      </c>
      <c r="AA68" s="25">
        <f t="shared" si="14"/>
        <v>3.2727272727272729</v>
      </c>
      <c r="AB68" s="25">
        <f t="shared" si="17"/>
        <v>87.272727272727309</v>
      </c>
      <c r="AC68" s="25">
        <f t="shared" si="18"/>
        <v>4</v>
      </c>
      <c r="AE68" s="26">
        <f t="shared" si="19"/>
        <v>3455.3830458509628</v>
      </c>
      <c r="AF68" s="27">
        <f t="shared" si="20"/>
        <v>1.8849555921538757E-4</v>
      </c>
      <c r="AG68" s="28">
        <f t="shared" si="21"/>
        <v>0.7142857142857143</v>
      </c>
      <c r="AH68" s="29">
        <f t="shared" si="15"/>
        <v>3455.3829311828345</v>
      </c>
      <c r="AI68" s="11"/>
      <c r="AJ68" s="26">
        <f t="shared" si="22"/>
        <v>4837.536264191348</v>
      </c>
      <c r="AK68" s="27">
        <f t="shared" si="23"/>
        <v>2.1991148575128548E-2</v>
      </c>
      <c r="AL68" s="29">
        <f t="shared" si="24"/>
        <v>60</v>
      </c>
      <c r="AM68" s="29">
        <f t="shared" si="25"/>
        <v>1.0000000000000001E-9</v>
      </c>
      <c r="AN68" s="9"/>
      <c r="AO68" s="26">
        <f t="shared" si="26"/>
        <v>241876.81320956736</v>
      </c>
      <c r="AP68" s="27">
        <f t="shared" si="27"/>
        <v>1.319468914507713E-4</v>
      </c>
      <c r="AQ68" s="29">
        <f t="shared" si="28"/>
        <v>0.5</v>
      </c>
      <c r="AR68" s="29">
        <f t="shared" si="29"/>
        <v>241876.81307813726</v>
      </c>
      <c r="AS68" s="9"/>
    </row>
    <row r="69" spans="2:45" x14ac:dyDescent="0.3">
      <c r="B69" s="2" t="s">
        <v>93</v>
      </c>
      <c r="C69" s="55" t="s">
        <v>47</v>
      </c>
      <c r="G69" s="13"/>
      <c r="X69" s="22">
        <v>750</v>
      </c>
      <c r="Y69" s="4" cm="1">
        <f t="array" ref="Y69">_xlfn.IFS(AND($C$69="Yes", $C$80="Yes"),1/((1/AH69)+(1/AM69)+(1/AR69)), AND($C$69="Yes", $C$80="No"), 1/((1/AH69)+(1/AM69)), AND($C$69="No", $C$80="Yes"), 1/((1/AH69)+(1/AR69)), AND($C$69="No", $C$80="No"), 1/(1/AH69))</f>
        <v>3179.6011809572524</v>
      </c>
      <c r="Z69" s="25">
        <f t="shared" si="16"/>
        <v>9.5231759468817092</v>
      </c>
      <c r="AA69" s="25">
        <f t="shared" si="14"/>
        <v>3.2727272727272729</v>
      </c>
      <c r="AB69" s="25">
        <f t="shared" si="17"/>
        <v>87.272727272727309</v>
      </c>
      <c r="AC69" s="25">
        <f t="shared" si="18"/>
        <v>4</v>
      </c>
      <c r="AE69" s="26">
        <f t="shared" si="19"/>
        <v>3225.0241761275652</v>
      </c>
      <c r="AF69" s="27">
        <f t="shared" si="20"/>
        <v>2.0195952773077239E-4</v>
      </c>
      <c r="AG69" s="28">
        <f t="shared" si="21"/>
        <v>0.7142857142857143</v>
      </c>
      <c r="AH69" s="29">
        <f t="shared" si="15"/>
        <v>3225.0240532688567</v>
      </c>
      <c r="AI69" s="11"/>
      <c r="AJ69" s="26">
        <f t="shared" si="22"/>
        <v>4515.0338465785917</v>
      </c>
      <c r="AK69" s="27">
        <f t="shared" si="23"/>
        <v>2.356194490192345E-2</v>
      </c>
      <c r="AL69" s="29">
        <f t="shared" si="24"/>
        <v>60</v>
      </c>
      <c r="AM69" s="29">
        <f t="shared" si="25"/>
        <v>1.0000000000000001E-9</v>
      </c>
      <c r="AN69" s="9"/>
      <c r="AO69" s="26">
        <f t="shared" si="26"/>
        <v>225751.69232892958</v>
      </c>
      <c r="AP69" s="27">
        <f t="shared" si="27"/>
        <v>1.4137166941154068E-4</v>
      </c>
      <c r="AQ69" s="29">
        <f t="shared" si="28"/>
        <v>0.5</v>
      </c>
      <c r="AR69" s="29">
        <f t="shared" si="29"/>
        <v>225751.6921881116</v>
      </c>
      <c r="AS69" s="9"/>
    </row>
    <row r="70" spans="2:45" ht="15.6" x14ac:dyDescent="0.35">
      <c r="B70" s="2" t="s">
        <v>134</v>
      </c>
      <c r="C70" s="55">
        <v>47</v>
      </c>
      <c r="D70" s="10" t="s">
        <v>8</v>
      </c>
      <c r="G70" s="13"/>
      <c r="X70" s="22">
        <v>800</v>
      </c>
      <c r="Y70" s="4" cm="1">
        <f t="array" ref="Y70">_xlfn.IFS(AND($C$69="Yes", $C$80="Yes"),1/((1/AH70)+(1/AM70)+(1/AR70)), AND($C$69="Yes", $C$80="No"), 1/((1/AH70)+(1/AM70)), AND($C$69="No", $C$80="Yes"), 1/((1/AH70)+(1/AR70)), AND($C$69="No", $C$80="No"), 1/(1/AH70))</f>
        <v>2980.8760917184395</v>
      </c>
      <c r="Z70" s="25">
        <f t="shared" si="16"/>
        <v>9.5231759468817092</v>
      </c>
      <c r="AA70" s="25">
        <f t="shared" si="14"/>
        <v>3.2727272727272729</v>
      </c>
      <c r="AB70" s="25">
        <f t="shared" si="17"/>
        <v>87.272727272727309</v>
      </c>
      <c r="AC70" s="25">
        <f t="shared" si="18"/>
        <v>4</v>
      </c>
      <c r="AE70" s="26">
        <f t="shared" si="19"/>
        <v>3023.4601651195921</v>
      </c>
      <c r="AF70" s="27">
        <f t="shared" si="20"/>
        <v>2.1542349624615727E-4</v>
      </c>
      <c r="AG70" s="28">
        <f t="shared" si="21"/>
        <v>0.7142857142857143</v>
      </c>
      <c r="AH70" s="29">
        <f t="shared" si="15"/>
        <v>3023.4600340703037</v>
      </c>
      <c r="AI70" s="11"/>
      <c r="AJ70" s="26">
        <f t="shared" si="22"/>
        <v>4232.8442311674289</v>
      </c>
      <c r="AK70" s="27">
        <f t="shared" si="23"/>
        <v>2.5132741228718346E-2</v>
      </c>
      <c r="AL70" s="29">
        <f t="shared" si="24"/>
        <v>60</v>
      </c>
      <c r="AM70" s="29">
        <f t="shared" si="25"/>
        <v>1.0000000000000001E-9</v>
      </c>
      <c r="AN70" s="9"/>
      <c r="AO70" s="26">
        <f t="shared" si="26"/>
        <v>211642.21155837146</v>
      </c>
      <c r="AP70" s="27">
        <f t="shared" si="27"/>
        <v>1.5079644737231007E-4</v>
      </c>
      <c r="AQ70" s="29">
        <f t="shared" si="28"/>
        <v>0.5</v>
      </c>
      <c r="AR70" s="29">
        <f t="shared" si="29"/>
        <v>211642.21140816563</v>
      </c>
      <c r="AS70" s="9"/>
    </row>
    <row r="71" spans="2:45" x14ac:dyDescent="0.3">
      <c r="B71" s="2" t="s">
        <v>92</v>
      </c>
      <c r="C71" s="55">
        <v>60</v>
      </c>
      <c r="D71" s="4" t="s">
        <v>21</v>
      </c>
      <c r="G71" s="13"/>
      <c r="X71" s="22">
        <v>850</v>
      </c>
      <c r="Y71" s="4" cm="1">
        <f t="array" ref="Y71">_xlfn.IFS(AND($C$69="Yes", $C$80="Yes"),1/((1/AH71)+(1/AM71)+(1/AR71)), AND($C$69="Yes", $C$80="No"), 1/((1/AH71)+(1/AM71)), AND($C$69="No", $C$80="Yes"), 1/((1/AH71)+(1/AR71)), AND($C$69="No", $C$80="No"), 1/(1/AH71))</f>
        <v>2805.5304238061531</v>
      </c>
      <c r="Z71" s="25">
        <f t="shared" si="16"/>
        <v>9.5231759468817092</v>
      </c>
      <c r="AA71" s="25">
        <f t="shared" si="14"/>
        <v>3.2727272727272729</v>
      </c>
      <c r="AB71" s="25">
        <f t="shared" si="17"/>
        <v>87.272727272727309</v>
      </c>
      <c r="AC71" s="25">
        <f t="shared" si="18"/>
        <v>4</v>
      </c>
      <c r="AE71" s="26">
        <f t="shared" si="19"/>
        <v>2845.6095671713815</v>
      </c>
      <c r="AF71" s="27">
        <f t="shared" si="20"/>
        <v>2.2888746476154207E-4</v>
      </c>
      <c r="AG71" s="28">
        <f t="shared" si="21"/>
        <v>0.7142857142857143</v>
      </c>
      <c r="AH71" s="29">
        <f t="shared" si="15"/>
        <v>2845.609427931513</v>
      </c>
      <c r="AI71" s="11"/>
      <c r="AJ71" s="26">
        <f t="shared" si="22"/>
        <v>3983.8533940399334</v>
      </c>
      <c r="AK71" s="27">
        <f t="shared" si="23"/>
        <v>2.6703537555513239E-2</v>
      </c>
      <c r="AL71" s="29">
        <f t="shared" si="24"/>
        <v>60</v>
      </c>
      <c r="AM71" s="29">
        <f t="shared" si="25"/>
        <v>1.0000000000000001E-9</v>
      </c>
      <c r="AN71" s="9"/>
      <c r="AO71" s="26">
        <f t="shared" si="26"/>
        <v>199192.6697019967</v>
      </c>
      <c r="AP71" s="27">
        <f t="shared" si="27"/>
        <v>1.6022122533307945E-4</v>
      </c>
      <c r="AQ71" s="29">
        <f t="shared" si="28"/>
        <v>0.5</v>
      </c>
      <c r="AR71" s="29">
        <f t="shared" si="29"/>
        <v>199192.66954240302</v>
      </c>
      <c r="AS71" s="9"/>
    </row>
    <row r="72" spans="2:45" x14ac:dyDescent="0.3">
      <c r="B72" s="2" t="s">
        <v>91</v>
      </c>
      <c r="C72" s="55">
        <v>5</v>
      </c>
      <c r="D72" s="10" t="s">
        <v>5</v>
      </c>
      <c r="G72" s="13"/>
      <c r="X72" s="22">
        <v>900</v>
      </c>
      <c r="Y72" s="4" cm="1">
        <f t="array" ref="Y72">_xlfn.IFS(AND($C$69="Yes", $C$80="Yes"),1/((1/AH72)+(1/AM72)+(1/AR72)), AND($C$69="Yes", $C$80="No"), 1/((1/AH72)+(1/AM72)), AND($C$69="No", $C$80="Yes"), 1/((1/AH72)+(1/AR72)), AND($C$69="No", $C$80="No"), 1/(1/AH72))</f>
        <v>2649.6676069993027</v>
      </c>
      <c r="Z72" s="25">
        <f t="shared" si="16"/>
        <v>9.5231759468817092</v>
      </c>
      <c r="AA72" s="25">
        <f t="shared" si="14"/>
        <v>3.2727272727272729</v>
      </c>
      <c r="AB72" s="25">
        <f t="shared" si="17"/>
        <v>87.272727272727309</v>
      </c>
      <c r="AC72" s="25">
        <f t="shared" si="18"/>
        <v>4</v>
      </c>
      <c r="AE72" s="26">
        <f t="shared" si="19"/>
        <v>2687.5201467729707</v>
      </c>
      <c r="AF72" s="27">
        <f t="shared" si="20"/>
        <v>2.4235143327692689E-4</v>
      </c>
      <c r="AG72" s="28">
        <f t="shared" si="21"/>
        <v>0.7142857142857143</v>
      </c>
      <c r="AH72" s="29">
        <f t="shared" si="15"/>
        <v>2687.5199993425222</v>
      </c>
      <c r="AI72" s="11"/>
      <c r="AJ72" s="26">
        <f t="shared" si="22"/>
        <v>3762.5282054821596</v>
      </c>
      <c r="AK72" s="27">
        <f t="shared" si="23"/>
        <v>2.8274333882308138E-2</v>
      </c>
      <c r="AL72" s="29">
        <f t="shared" si="24"/>
        <v>60</v>
      </c>
      <c r="AM72" s="29">
        <f t="shared" si="25"/>
        <v>1.0000000000000001E-9</v>
      </c>
      <c r="AN72" s="9"/>
      <c r="AO72" s="26">
        <f t="shared" si="26"/>
        <v>188126.410274108</v>
      </c>
      <c r="AP72" s="27">
        <f t="shared" si="27"/>
        <v>1.6964600329384883E-4</v>
      </c>
      <c r="AQ72" s="29">
        <f t="shared" si="28"/>
        <v>0.5</v>
      </c>
      <c r="AR72" s="29">
        <f t="shared" si="29"/>
        <v>188126.41010512644</v>
      </c>
      <c r="AS72" s="9"/>
    </row>
    <row r="73" spans="2:45" x14ac:dyDescent="0.3">
      <c r="B73" s="2" t="s">
        <v>75</v>
      </c>
      <c r="C73" s="55">
        <v>1</v>
      </c>
      <c r="D73" s="10"/>
      <c r="G73" s="13"/>
      <c r="X73" s="22">
        <v>950</v>
      </c>
      <c r="Y73" s="4" cm="1">
        <f t="array" ref="Y73">_xlfn.IFS(AND($C$69="Yes", $C$80="Yes"),1/((1/AH73)+(1/AM73)+(1/AR73)), AND($C$69="Yes", $C$80="No"), 1/((1/AH73)+(1/AM73)), AND($C$69="No", $C$80="Yes"), 1/((1/AH73)+(1/AR73)), AND($C$69="No", $C$80="No"), 1/(1/AH73))</f>
        <v>2510.2114016496648</v>
      </c>
      <c r="Z73" s="25">
        <f t="shared" si="16"/>
        <v>9.5231759468817092</v>
      </c>
      <c r="AA73" s="25">
        <f t="shared" si="14"/>
        <v>3.2727272727272729</v>
      </c>
      <c r="AB73" s="25">
        <f t="shared" si="17"/>
        <v>87.272727272727309</v>
      </c>
      <c r="AC73" s="25">
        <f t="shared" si="18"/>
        <v>4</v>
      </c>
      <c r="AE73" s="26">
        <f t="shared" si="19"/>
        <v>2546.0717179954463</v>
      </c>
      <c r="AF73" s="27">
        <f t="shared" si="20"/>
        <v>2.5581540179231172E-4</v>
      </c>
      <c r="AG73" s="28">
        <f t="shared" si="21"/>
        <v>0.7142857142857143</v>
      </c>
      <c r="AH73" s="29">
        <f t="shared" si="15"/>
        <v>2546.0715623744181</v>
      </c>
      <c r="AI73" s="11"/>
      <c r="AJ73" s="26">
        <f t="shared" si="22"/>
        <v>3564.5004051936253</v>
      </c>
      <c r="AK73" s="27">
        <f t="shared" si="23"/>
        <v>2.9845130209103038E-2</v>
      </c>
      <c r="AL73" s="29">
        <f t="shared" si="24"/>
        <v>60</v>
      </c>
      <c r="AM73" s="29">
        <f t="shared" si="25"/>
        <v>1.0000000000000001E-9</v>
      </c>
      <c r="AN73" s="9"/>
      <c r="AO73" s="26">
        <f t="shared" si="26"/>
        <v>178225.02025968122</v>
      </c>
      <c r="AP73" s="27">
        <f t="shared" si="27"/>
        <v>1.7907078125461821E-4</v>
      </c>
      <c r="AQ73" s="29">
        <f t="shared" si="28"/>
        <v>0.5</v>
      </c>
      <c r="AR73" s="29">
        <f t="shared" si="29"/>
        <v>178225.02008131178</v>
      </c>
      <c r="AS73" s="9"/>
    </row>
    <row r="74" spans="2:45" x14ac:dyDescent="0.3">
      <c r="B74" s="2" t="s">
        <v>63</v>
      </c>
      <c r="C74" s="43">
        <f>C73*C41</f>
        <v>2</v>
      </c>
      <c r="D74" s="4"/>
      <c r="G74" s="13"/>
      <c r="X74" s="22">
        <v>1000</v>
      </c>
      <c r="Y74" s="4" cm="1">
        <f t="array" ref="Y74">_xlfn.IFS(AND($C$69="Yes", $C$80="Yes"),1/((1/AH74)+(1/AM74)+(1/AR74)), AND($C$69="Yes", $C$80="No"), 1/((1/AH74)+(1/AM74)), AND($C$69="No", $C$80="Yes"), 1/((1/AH74)+(1/AR74)), AND($C$69="No", $C$80="No"), 1/(1/AH74))</f>
        <v>2384.7008160386558</v>
      </c>
      <c r="Z74" s="25">
        <f t="shared" si="16"/>
        <v>9.5231759468817092</v>
      </c>
      <c r="AA74" s="25">
        <f t="shared" si="14"/>
        <v>3.2727272727272729</v>
      </c>
      <c r="AB74" s="25">
        <f t="shared" si="17"/>
        <v>87.272727272727309</v>
      </c>
      <c r="AC74" s="25">
        <f t="shared" si="18"/>
        <v>4</v>
      </c>
      <c r="AE74" s="26">
        <f t="shared" si="19"/>
        <v>2418.768132095674</v>
      </c>
      <c r="AF74" s="27">
        <f t="shared" si="20"/>
        <v>2.6927937030769654E-4</v>
      </c>
      <c r="AG74" s="28">
        <f t="shared" si="21"/>
        <v>0.7142857142857143</v>
      </c>
      <c r="AH74" s="29">
        <f t="shared" si="15"/>
        <v>2418.7679682840662</v>
      </c>
      <c r="AI74" s="11"/>
      <c r="AJ74" s="26">
        <f t="shared" si="22"/>
        <v>3386.2753849339433</v>
      </c>
      <c r="AK74" s="27">
        <f t="shared" si="23"/>
        <v>3.1415926535897927E-2</v>
      </c>
      <c r="AL74" s="29">
        <f t="shared" si="24"/>
        <v>60</v>
      </c>
      <c r="AM74" s="29">
        <f t="shared" si="25"/>
        <v>1.0000000000000001E-9</v>
      </c>
      <c r="AN74" s="9"/>
      <c r="AO74" s="26">
        <f t="shared" si="26"/>
        <v>169313.76924669719</v>
      </c>
      <c r="AP74" s="27">
        <f t="shared" si="27"/>
        <v>1.8849555921538757E-4</v>
      </c>
      <c r="AQ74" s="29">
        <f t="shared" si="28"/>
        <v>0.5</v>
      </c>
      <c r="AR74" s="29">
        <f t="shared" si="29"/>
        <v>169313.76905893991</v>
      </c>
      <c r="AS74" s="9"/>
    </row>
    <row r="75" spans="2:45" ht="15.6" x14ac:dyDescent="0.35">
      <c r="B75" s="2" t="s">
        <v>336</v>
      </c>
      <c r="C75" s="43">
        <f>C70*C73</f>
        <v>47</v>
      </c>
      <c r="D75" s="10" t="s">
        <v>8</v>
      </c>
      <c r="G75" s="13"/>
      <c r="X75" s="22">
        <v>1500</v>
      </c>
      <c r="Y75" s="4" cm="1">
        <f t="array" ref="Y75">_xlfn.IFS(AND($C$69="Yes", $C$80="Yes"),1/((1/AH75)+(1/AM75)+(1/AR75)), AND($C$69="Yes", $C$80="No"), 1/((1/AH75)+(1/AM75)), AND($C$69="No", $C$80="Yes"), 1/((1/AH75)+(1/AR75)), AND($C$69="No", $C$80="No"), 1/(1/AH75))</f>
        <v>1589.8004113033392</v>
      </c>
      <c r="Z75" s="25">
        <f t="shared" si="16"/>
        <v>9.5231759468817092</v>
      </c>
      <c r="AA75" s="25">
        <f t="shared" si="14"/>
        <v>3.2727272727272729</v>
      </c>
      <c r="AB75" s="25">
        <f t="shared" si="17"/>
        <v>87.272727272727309</v>
      </c>
      <c r="AC75" s="25">
        <f t="shared" si="18"/>
        <v>4</v>
      </c>
      <c r="AE75" s="26">
        <f t="shared" si="19"/>
        <v>1612.5120880637826</v>
      </c>
      <c r="AF75" s="27">
        <f t="shared" si="20"/>
        <v>4.0391905546154479E-4</v>
      </c>
      <c r="AG75" s="28">
        <f t="shared" si="21"/>
        <v>0.7142857142857143</v>
      </c>
      <c r="AH75" s="29">
        <f t="shared" si="15"/>
        <v>1612.5118423463889</v>
      </c>
      <c r="AI75" s="11"/>
      <c r="AJ75" s="26">
        <f t="shared" si="22"/>
        <v>2257.5169232892958</v>
      </c>
      <c r="AK75" s="27">
        <f t="shared" si="23"/>
        <v>4.7123889803846901E-2</v>
      </c>
      <c r="AL75" s="29">
        <f t="shared" si="24"/>
        <v>60</v>
      </c>
      <c r="AM75" s="29">
        <f t="shared" si="25"/>
        <v>1.0000000000000001E-9</v>
      </c>
      <c r="AN75" s="9"/>
      <c r="AO75" s="26">
        <f t="shared" si="26"/>
        <v>112875.84616446479</v>
      </c>
      <c r="AP75" s="27">
        <f t="shared" si="27"/>
        <v>2.8274333882308137E-4</v>
      </c>
      <c r="AQ75" s="29">
        <f t="shared" si="28"/>
        <v>0.5</v>
      </c>
      <c r="AR75" s="29">
        <f t="shared" si="29"/>
        <v>112875.84588282887</v>
      </c>
      <c r="AS75" s="9"/>
    </row>
    <row r="76" spans="2:45" ht="15.6" x14ac:dyDescent="0.35">
      <c r="B76" s="2" t="s">
        <v>337</v>
      </c>
      <c r="C76" s="43">
        <f>C71/C73</f>
        <v>60</v>
      </c>
      <c r="D76" s="4" t="s">
        <v>21</v>
      </c>
      <c r="G76" s="13"/>
      <c r="X76" s="22">
        <v>2000</v>
      </c>
      <c r="Y76" s="4" cm="1">
        <f t="array" ref="Y76">_xlfn.IFS(AND($C$69="Yes", $C$80="Yes"),1/((1/AH76)+(1/AM76)+(1/AR76)), AND($C$69="Yes", $C$80="No"), 1/((1/AH76)+(1/AM76)), AND($C$69="No", $C$80="Yes"), 1/((1/AH76)+(1/AR76)), AND($C$69="No", $C$80="No"), 1/(1/AH76))</f>
        <v>1192.3501691189754</v>
      </c>
      <c r="Z76" s="25">
        <f t="shared" si="16"/>
        <v>9.5231759468817092</v>
      </c>
      <c r="AA76" s="25">
        <f t="shared" si="14"/>
        <v>3.2727272727272729</v>
      </c>
      <c r="AB76" s="25">
        <f t="shared" si="17"/>
        <v>87.272727272727309</v>
      </c>
      <c r="AC76" s="25">
        <f t="shared" si="18"/>
        <v>4</v>
      </c>
      <c r="AE76" s="26">
        <f t="shared" si="19"/>
        <v>1209.384066047837</v>
      </c>
      <c r="AF76" s="27">
        <f t="shared" si="20"/>
        <v>5.3855874061539309E-4</v>
      </c>
      <c r="AG76" s="28">
        <f t="shared" si="21"/>
        <v>0.7142857142857143</v>
      </c>
      <c r="AH76" s="29">
        <f t="shared" si="15"/>
        <v>1209.3837384246788</v>
      </c>
      <c r="AI76" s="11"/>
      <c r="AJ76" s="26">
        <f t="shared" si="22"/>
        <v>1693.1376924669717</v>
      </c>
      <c r="AK76" s="27">
        <f t="shared" si="23"/>
        <v>6.2831853071795854E-2</v>
      </c>
      <c r="AL76" s="29">
        <f t="shared" si="24"/>
        <v>60</v>
      </c>
      <c r="AM76" s="29">
        <f t="shared" si="25"/>
        <v>1.0000000000000001E-9</v>
      </c>
      <c r="AN76" s="9"/>
      <c r="AO76" s="26">
        <f t="shared" si="26"/>
        <v>84656.884623348597</v>
      </c>
      <c r="AP76" s="27">
        <f t="shared" si="27"/>
        <v>3.7699111843077514E-4</v>
      </c>
      <c r="AQ76" s="29">
        <f t="shared" si="28"/>
        <v>0.5</v>
      </c>
      <c r="AR76" s="29">
        <f t="shared" si="29"/>
        <v>84656.884247834038</v>
      </c>
      <c r="AS76" s="9"/>
    </row>
    <row r="77" spans="2:45" ht="15.6" x14ac:dyDescent="0.35">
      <c r="B77" s="2" t="s">
        <v>338</v>
      </c>
      <c r="C77" s="43">
        <f>C72/C73</f>
        <v>5</v>
      </c>
      <c r="D77" s="10" t="s">
        <v>5</v>
      </c>
      <c r="G77" s="13"/>
      <c r="X77" s="22">
        <v>2500</v>
      </c>
      <c r="Y77" s="4" cm="1">
        <f t="array" ref="Y77">_xlfn.IFS(AND($C$69="Yes", $C$80="Yes"),1/((1/AH77)+(1/AM77)+(1/AR77)), AND($C$69="Yes", $C$80="No"), 1/((1/AH77)+(1/AM77)), AND($C$69="No", $C$80="Yes"), 1/((1/AH77)+(1/AR77)), AND($C$69="No", $C$80="No"), 1/(1/AH77))</f>
        <v>953.87999195501106</v>
      </c>
      <c r="Z77" s="25">
        <f t="shared" si="16"/>
        <v>9.5231759468817092</v>
      </c>
      <c r="AA77" s="25">
        <f t="shared" si="14"/>
        <v>3.2727272727272729</v>
      </c>
      <c r="AB77" s="25">
        <f t="shared" si="17"/>
        <v>87.272727272727309</v>
      </c>
      <c r="AC77" s="25">
        <f t="shared" si="18"/>
        <v>4</v>
      </c>
      <c r="AE77" s="26">
        <f t="shared" si="19"/>
        <v>967.50725283826966</v>
      </c>
      <c r="AF77" s="27">
        <f t="shared" si="20"/>
        <v>6.7319842576924144E-4</v>
      </c>
      <c r="AG77" s="28">
        <f t="shared" si="21"/>
        <v>0.7142857142857143</v>
      </c>
      <c r="AH77" s="29">
        <f t="shared" si="15"/>
        <v>967.50684330937497</v>
      </c>
      <c r="AI77" s="11"/>
      <c r="AJ77" s="26">
        <f t="shared" si="22"/>
        <v>1354.5101539735772</v>
      </c>
      <c r="AK77" s="27">
        <f t="shared" si="23"/>
        <v>7.8539816339744828E-2</v>
      </c>
      <c r="AL77" s="29">
        <f t="shared" si="24"/>
        <v>60</v>
      </c>
      <c r="AM77" s="29">
        <f t="shared" si="25"/>
        <v>1.0000000000000001E-9</v>
      </c>
      <c r="AN77" s="9"/>
      <c r="AO77" s="26">
        <f t="shared" si="26"/>
        <v>67725.507698678863</v>
      </c>
      <c r="AP77" s="27">
        <f t="shared" si="27"/>
        <v>4.7123889803846896E-4</v>
      </c>
      <c r="AQ77" s="29">
        <f t="shared" si="28"/>
        <v>0.5</v>
      </c>
      <c r="AR77" s="29">
        <f t="shared" si="29"/>
        <v>67725.507229285649</v>
      </c>
      <c r="AS77" s="9"/>
    </row>
    <row r="78" spans="2:45" ht="15.6" x14ac:dyDescent="0.35">
      <c r="B78" s="2" t="s">
        <v>145</v>
      </c>
      <c r="C78" s="51">
        <f>1/(2*PI()*SQRT(C77*0.000000001*C75*0.000001))/1000</f>
        <v>328.31157950418003</v>
      </c>
      <c r="D78" s="10" t="s">
        <v>88</v>
      </c>
      <c r="G78" s="13"/>
      <c r="X78" s="22">
        <v>3000</v>
      </c>
      <c r="Y78" s="4" cm="1">
        <f t="array" ref="Y78">_xlfn.IFS(AND($C$69="Yes", $C$80="Yes"),1/((1/AH78)+(1/AM78)+(1/AR78)), AND($C$69="Yes", $C$80="No"), 1/((1/AH78)+(1/AM78)), AND($C$69="No", $C$80="Yes"), 1/((1/AH78)+(1/AR78)), AND($C$69="No", $C$80="No"), 1/(1/AH78))</f>
        <v>794.89984730126719</v>
      </c>
      <c r="Z78" s="25">
        <f t="shared" si="16"/>
        <v>9.5231759468817092</v>
      </c>
      <c r="AA78" s="25">
        <f t="shared" si="14"/>
        <v>3.2727272727272729</v>
      </c>
      <c r="AB78" s="25">
        <f t="shared" si="17"/>
        <v>87.272727272727309</v>
      </c>
      <c r="AC78" s="25">
        <f t="shared" si="18"/>
        <v>4</v>
      </c>
      <c r="AE78" s="26">
        <f t="shared" si="19"/>
        <v>806.25604403189129</v>
      </c>
      <c r="AF78" s="27">
        <f t="shared" si="20"/>
        <v>8.0783811092308957E-4</v>
      </c>
      <c r="AG78" s="28">
        <f t="shared" si="21"/>
        <v>0.7142857142857143</v>
      </c>
      <c r="AH78" s="29">
        <f t="shared" si="15"/>
        <v>806.25555259729538</v>
      </c>
      <c r="AI78" s="11"/>
      <c r="AJ78" s="26">
        <f t="shared" si="22"/>
        <v>1128.7584616446479</v>
      </c>
      <c r="AK78" s="27">
        <f t="shared" si="23"/>
        <v>9.4247779607693802E-2</v>
      </c>
      <c r="AL78" s="29">
        <f t="shared" si="24"/>
        <v>60</v>
      </c>
      <c r="AM78" s="29">
        <f t="shared" si="25"/>
        <v>1.0000000000000001E-9</v>
      </c>
      <c r="AN78" s="9"/>
      <c r="AO78" s="26">
        <f t="shared" si="26"/>
        <v>56437.923082232395</v>
      </c>
      <c r="AP78" s="27">
        <f t="shared" si="27"/>
        <v>5.6548667764616273E-4</v>
      </c>
      <c r="AQ78" s="29">
        <f t="shared" si="28"/>
        <v>0.5</v>
      </c>
      <c r="AR78" s="29">
        <f t="shared" si="29"/>
        <v>56437.922518960542</v>
      </c>
      <c r="AS78" s="9"/>
    </row>
    <row r="79" spans="2:45" x14ac:dyDescent="0.3">
      <c r="G79" s="13"/>
      <c r="X79" s="22">
        <v>3500</v>
      </c>
      <c r="Y79" s="4" cm="1">
        <f t="array" ref="Y79">_xlfn.IFS(AND($C$69="Yes", $C$80="Yes"),1/((1/AH79)+(1/AM79)+(1/AR79)), AND($C$69="Yes", $C$80="No"), 1/((1/AH79)+(1/AM79)), AND($C$69="No", $C$80="Yes"), 1/((1/AH79)+(1/AR79)), AND($C$69="No", $C$80="No"), 1/(1/AH79))</f>
        <v>681.34257836767063</v>
      </c>
      <c r="Z79" s="25">
        <f t="shared" si="16"/>
        <v>9.5231759468817092</v>
      </c>
      <c r="AA79" s="25">
        <f t="shared" si="14"/>
        <v>3.2727272727272729</v>
      </c>
      <c r="AB79" s="25">
        <f t="shared" si="17"/>
        <v>87.272727272727309</v>
      </c>
      <c r="AC79" s="25">
        <f t="shared" si="18"/>
        <v>4</v>
      </c>
      <c r="AE79" s="26">
        <f t="shared" si="19"/>
        <v>691.07660917019257</v>
      </c>
      <c r="AF79" s="27">
        <f t="shared" si="20"/>
        <v>9.4247779607693793E-4</v>
      </c>
      <c r="AG79" s="28">
        <f t="shared" si="21"/>
        <v>0.7142857142857143</v>
      </c>
      <c r="AH79" s="29">
        <f t="shared" si="15"/>
        <v>691.07603582993806</v>
      </c>
      <c r="AI79" s="11"/>
      <c r="AJ79" s="26">
        <f t="shared" si="22"/>
        <v>967.50725283826966</v>
      </c>
      <c r="AK79" s="27">
        <f t="shared" si="23"/>
        <v>0.10995574287564276</v>
      </c>
      <c r="AL79" s="29">
        <f t="shared" si="24"/>
        <v>60</v>
      </c>
      <c r="AM79" s="29">
        <f t="shared" si="25"/>
        <v>1.0000000000000001E-9</v>
      </c>
      <c r="AN79" s="9"/>
      <c r="AO79" s="26">
        <f t="shared" si="26"/>
        <v>48375.362641913482</v>
      </c>
      <c r="AP79" s="27">
        <f t="shared" si="27"/>
        <v>6.5973445725385645E-4</v>
      </c>
      <c r="AQ79" s="29">
        <f t="shared" si="28"/>
        <v>0.5</v>
      </c>
      <c r="AR79" s="29">
        <f t="shared" si="29"/>
        <v>48375.361984762982</v>
      </c>
      <c r="AS79" s="9"/>
    </row>
    <row r="80" spans="2:45" x14ac:dyDescent="0.3">
      <c r="B80" s="2" t="s">
        <v>94</v>
      </c>
      <c r="C80" s="55" t="s">
        <v>7</v>
      </c>
      <c r="X80" s="22">
        <v>4000</v>
      </c>
      <c r="Y80" s="4" cm="1">
        <f t="array" ref="Y80">_xlfn.IFS(AND($C$69="Yes", $C$80="Yes"),1/((1/AH80)+(1/AM80)+(1/AR80)), AND($C$69="Yes", $C$80="No"), 1/((1/AH80)+(1/AM80)), AND($C$69="No", $C$80="Yes"), 1/((1/AH80)+(1/AR80)), AND($C$69="No", $C$80="No"), 1/(1/AH80))</f>
        <v>596.17460675918824</v>
      </c>
      <c r="Z80" s="25">
        <f t="shared" si="16"/>
        <v>9.5231759468817092</v>
      </c>
      <c r="AA80" s="25">
        <f t="shared" si="14"/>
        <v>3.2727272727272729</v>
      </c>
      <c r="AB80" s="25">
        <f t="shared" si="17"/>
        <v>87.272727272727309</v>
      </c>
      <c r="AC80" s="25">
        <f t="shared" si="18"/>
        <v>4</v>
      </c>
      <c r="AE80" s="26">
        <f t="shared" si="19"/>
        <v>604.6920330239185</v>
      </c>
      <c r="AF80" s="27">
        <f t="shared" si="20"/>
        <v>1.0771174812307862E-3</v>
      </c>
      <c r="AG80" s="28">
        <f t="shared" si="21"/>
        <v>0.7142857142857143</v>
      </c>
      <c r="AH80" s="29">
        <f t="shared" si="15"/>
        <v>604.69137777805508</v>
      </c>
      <c r="AI80" s="11"/>
      <c r="AJ80" s="26">
        <f t="shared" si="22"/>
        <v>846.56884623348583</v>
      </c>
      <c r="AK80" s="27">
        <f t="shared" si="23"/>
        <v>0.12566370614359171</v>
      </c>
      <c r="AL80" s="29">
        <f t="shared" si="24"/>
        <v>60</v>
      </c>
      <c r="AM80" s="29">
        <f t="shared" si="25"/>
        <v>1.0000000000000001E-9</v>
      </c>
      <c r="AN80" s="9"/>
      <c r="AO80" s="26">
        <f t="shared" si="26"/>
        <v>42328.442311674298</v>
      </c>
      <c r="AP80" s="27">
        <f t="shared" si="27"/>
        <v>7.5398223686155028E-4</v>
      </c>
      <c r="AQ80" s="29">
        <f t="shared" si="28"/>
        <v>0.5</v>
      </c>
      <c r="AR80" s="29">
        <f t="shared" si="29"/>
        <v>42328.441560645158</v>
      </c>
      <c r="AS80" s="9"/>
    </row>
    <row r="81" spans="2:45" ht="15.6" x14ac:dyDescent="0.35">
      <c r="B81" s="2" t="s">
        <v>135</v>
      </c>
      <c r="C81" s="55">
        <v>4.7E-2</v>
      </c>
      <c r="D81" s="10" t="s">
        <v>8</v>
      </c>
      <c r="X81" s="22">
        <v>4500</v>
      </c>
      <c r="Y81" s="4" cm="1">
        <f t="array" ref="Y81">_xlfn.IFS(AND($C$69="Yes", $C$80="Yes"),1/((1/AH81)+(1/AM81)+(1/AR81)), AND($C$69="Yes", $C$80="No"), 1/((1/AH81)+(1/AM81)), AND($C$69="No", $C$80="Yes"), 1/((1/AH81)+(1/AR81)), AND($C$69="No", $C$80="No"), 1/(1/AH81))</f>
        <v>529.93283336747083</v>
      </c>
      <c r="Z81" s="25">
        <f t="shared" si="16"/>
        <v>9.5231759468817092</v>
      </c>
      <c r="AA81" s="25">
        <f t="shared" si="14"/>
        <v>3.2727272727272729</v>
      </c>
      <c r="AB81" s="25">
        <f t="shared" si="17"/>
        <v>87.272727272727309</v>
      </c>
      <c r="AC81" s="25">
        <f t="shared" si="18"/>
        <v>4</v>
      </c>
      <c r="AE81" s="26">
        <f t="shared" si="19"/>
        <v>537.50402935459419</v>
      </c>
      <c r="AF81" s="27">
        <f t="shared" si="20"/>
        <v>1.2117571663846345E-3</v>
      </c>
      <c r="AG81" s="28">
        <f t="shared" si="21"/>
        <v>0.7142857142857143</v>
      </c>
      <c r="AH81" s="29">
        <f t="shared" si="15"/>
        <v>537.50329220317838</v>
      </c>
      <c r="AI81" s="11"/>
      <c r="AJ81" s="26">
        <f t="shared" si="22"/>
        <v>752.50564109643187</v>
      </c>
      <c r="AK81" s="27">
        <f t="shared" si="23"/>
        <v>0.14137166941154072</v>
      </c>
      <c r="AL81" s="29">
        <f t="shared" si="24"/>
        <v>60</v>
      </c>
      <c r="AM81" s="29">
        <f t="shared" si="25"/>
        <v>1.0000000000000001E-9</v>
      </c>
      <c r="AN81" s="9"/>
      <c r="AO81" s="26">
        <f t="shared" si="26"/>
        <v>37625.282054821597</v>
      </c>
      <c r="AP81" s="27">
        <f t="shared" si="27"/>
        <v>8.4823001646924421E-4</v>
      </c>
      <c r="AQ81" s="29">
        <f t="shared" si="28"/>
        <v>0.5</v>
      </c>
      <c r="AR81" s="29">
        <f t="shared" si="29"/>
        <v>37625.28120991381</v>
      </c>
      <c r="AS81" s="9"/>
    </row>
    <row r="82" spans="2:45" x14ac:dyDescent="0.3">
      <c r="B82" s="2" t="s">
        <v>95</v>
      </c>
      <c r="C82" s="55">
        <v>10</v>
      </c>
      <c r="D82" s="4" t="s">
        <v>21</v>
      </c>
      <c r="G82" s="13"/>
      <c r="X82" s="22">
        <v>5000</v>
      </c>
      <c r="Y82" s="4" cm="1">
        <f t="array" ref="Y82">_xlfn.IFS(AND($C$69="Yes", $C$80="Yes"),1/((1/AH82)+(1/AM82)+(1/AR82)), AND($C$69="Yes", $C$80="No"), 1/((1/AH82)+(1/AM82)), AND($C$69="No", $C$80="Yes"), 1/((1/AH82)+(1/AR82)), AND($C$69="No", $C$80="No"), 1/(1/AH82))</f>
        <v>476.93939872751218</v>
      </c>
      <c r="Z82" s="25">
        <f t="shared" si="16"/>
        <v>9.5231759468817092</v>
      </c>
      <c r="AA82" s="25">
        <f t="shared" si="14"/>
        <v>3.2727272727272729</v>
      </c>
      <c r="AB82" s="25">
        <f t="shared" si="17"/>
        <v>87.272727272727309</v>
      </c>
      <c r="AC82" s="25">
        <f t="shared" si="18"/>
        <v>4</v>
      </c>
      <c r="AE82" s="26">
        <f t="shared" si="19"/>
        <v>483.75362641913483</v>
      </c>
      <c r="AF82" s="27">
        <f t="shared" si="20"/>
        <v>1.3463968515384829E-3</v>
      </c>
      <c r="AG82" s="28">
        <f t="shared" si="21"/>
        <v>0.7142857142857143</v>
      </c>
      <c r="AH82" s="29">
        <f t="shared" si="15"/>
        <v>483.75280736223039</v>
      </c>
      <c r="AI82" s="11"/>
      <c r="AJ82" s="26">
        <f t="shared" si="22"/>
        <v>677.25507698678859</v>
      </c>
      <c r="AK82" s="27">
        <f t="shared" si="23"/>
        <v>0.15707963267948966</v>
      </c>
      <c r="AL82" s="29">
        <f t="shared" si="24"/>
        <v>60</v>
      </c>
      <c r="AM82" s="29">
        <f t="shared" si="25"/>
        <v>1.0000000000000001E-9</v>
      </c>
      <c r="AN82" s="9"/>
      <c r="AO82" s="26">
        <f t="shared" si="26"/>
        <v>33862.753849339431</v>
      </c>
      <c r="AP82" s="27">
        <f t="shared" si="27"/>
        <v>9.4247779607693793E-4</v>
      </c>
      <c r="AQ82" s="29">
        <f t="shared" si="28"/>
        <v>0.5</v>
      </c>
      <c r="AR82" s="29">
        <f t="shared" si="29"/>
        <v>33862.752910553005</v>
      </c>
      <c r="AS82" s="9"/>
    </row>
    <row r="83" spans="2:45" x14ac:dyDescent="0.3">
      <c r="B83" s="2" t="s">
        <v>96</v>
      </c>
      <c r="C83" s="55">
        <v>0.6</v>
      </c>
      <c r="D83" s="10" t="s">
        <v>5</v>
      </c>
      <c r="G83" s="13"/>
      <c r="X83" s="22">
        <v>5500</v>
      </c>
      <c r="Y83" s="4" cm="1">
        <f t="array" ref="Y83">_xlfn.IFS(AND($C$69="Yes", $C$80="Yes"),1/((1/AH83)+(1/AM83)+(1/AR83)), AND($C$69="Yes", $C$80="No"), 1/((1/AH83)+(1/AM83)), AND($C$69="No", $C$80="Yes"), 1/((1/AH83)+(1/AR83)), AND($C$69="No", $C$80="No"), 1/(1/AH83))</f>
        <v>433.58111954340166</v>
      </c>
      <c r="Z83" s="25">
        <f t="shared" si="16"/>
        <v>9.5231759468817092</v>
      </c>
      <c r="AA83" s="25">
        <f t="shared" si="14"/>
        <v>3.2727272727272729</v>
      </c>
      <c r="AB83" s="25">
        <f t="shared" si="17"/>
        <v>87.272727272727309</v>
      </c>
      <c r="AC83" s="25">
        <f t="shared" si="18"/>
        <v>4</v>
      </c>
      <c r="AE83" s="26">
        <f t="shared" si="19"/>
        <v>439.77602401739534</v>
      </c>
      <c r="AF83" s="27">
        <f t="shared" si="20"/>
        <v>1.481036536692331E-3</v>
      </c>
      <c r="AG83" s="28">
        <f t="shared" si="21"/>
        <v>0.7142857142857143</v>
      </c>
      <c r="AH83" s="29">
        <f t="shared" si="15"/>
        <v>439.77512305507315</v>
      </c>
      <c r="AI83" s="11"/>
      <c r="AJ83" s="26">
        <f t="shared" si="22"/>
        <v>615.68643362435341</v>
      </c>
      <c r="AK83" s="27">
        <f t="shared" si="23"/>
        <v>0.17278759594743859</v>
      </c>
      <c r="AL83" s="29">
        <f t="shared" si="24"/>
        <v>60</v>
      </c>
      <c r="AM83" s="29">
        <f t="shared" si="25"/>
        <v>1.0000000000000001E-9</v>
      </c>
      <c r="AN83" s="9"/>
      <c r="AO83" s="26">
        <f t="shared" si="26"/>
        <v>30784.321681217672</v>
      </c>
      <c r="AP83" s="27">
        <f t="shared" si="27"/>
        <v>1.0367255756846315E-3</v>
      </c>
      <c r="AQ83" s="29">
        <f t="shared" si="28"/>
        <v>0.5</v>
      </c>
      <c r="AR83" s="29">
        <f t="shared" si="29"/>
        <v>30784.320648552606</v>
      </c>
      <c r="AS83" s="9"/>
    </row>
    <row r="84" spans="2:45" x14ac:dyDescent="0.3">
      <c r="B84" s="2" t="s">
        <v>75</v>
      </c>
      <c r="C84" s="55">
        <v>20</v>
      </c>
      <c r="D84" s="10"/>
      <c r="G84" s="13"/>
      <c r="X84" s="22">
        <v>6000</v>
      </c>
      <c r="Y84" s="4" cm="1">
        <f t="array" ref="Y84">_xlfn.IFS(AND($C$69="Yes", $C$80="Yes"),1/((1/AH84)+(1/AM84)+(1/AR84)), AND($C$69="Yes", $C$80="No"), 1/((1/AH84)+(1/AM84)), AND($C$69="No", $C$80="Yes"), 1/((1/AH84)+(1/AR84)), AND($C$69="No", $C$80="No"), 1/(1/AH84))</f>
        <v>397.44920695120061</v>
      </c>
      <c r="Z84" s="25">
        <f t="shared" si="16"/>
        <v>9.5231759468817092</v>
      </c>
      <c r="AA84" s="25">
        <f t="shared" si="14"/>
        <v>3.2727272727272729</v>
      </c>
      <c r="AB84" s="25">
        <f t="shared" si="17"/>
        <v>87.272727272727309</v>
      </c>
      <c r="AC84" s="25">
        <f t="shared" si="18"/>
        <v>4</v>
      </c>
      <c r="AE84" s="26">
        <f t="shared" si="19"/>
        <v>403.12802201594565</v>
      </c>
      <c r="AF84" s="27">
        <f t="shared" si="20"/>
        <v>1.6156762218461791E-3</v>
      </c>
      <c r="AG84" s="28">
        <f t="shared" si="21"/>
        <v>0.7142857142857143</v>
      </c>
      <c r="AH84" s="29">
        <f t="shared" si="15"/>
        <v>403.12703914828359</v>
      </c>
      <c r="AI84" s="11"/>
      <c r="AJ84" s="26">
        <f t="shared" si="22"/>
        <v>564.37923082232396</v>
      </c>
      <c r="AK84" s="27">
        <f t="shared" si="23"/>
        <v>0.1884955592153876</v>
      </c>
      <c r="AL84" s="29">
        <f t="shared" si="24"/>
        <v>60</v>
      </c>
      <c r="AM84" s="29">
        <f t="shared" si="25"/>
        <v>1.0000000000000001E-9</v>
      </c>
      <c r="AN84" s="9"/>
      <c r="AO84" s="26">
        <f t="shared" si="26"/>
        <v>28218.961541116198</v>
      </c>
      <c r="AP84" s="27">
        <f t="shared" si="27"/>
        <v>1.1309733552923255E-3</v>
      </c>
      <c r="AQ84" s="29">
        <f t="shared" si="28"/>
        <v>0.5</v>
      </c>
      <c r="AR84" s="29">
        <f t="shared" si="29"/>
        <v>28218.960414572488</v>
      </c>
      <c r="AS84" s="9"/>
    </row>
    <row r="85" spans="2:45" x14ac:dyDescent="0.3">
      <c r="B85" s="2" t="s">
        <v>63</v>
      </c>
      <c r="C85" s="43">
        <f>C41*C84</f>
        <v>40</v>
      </c>
      <c r="D85" s="4"/>
      <c r="G85" s="13"/>
      <c r="X85" s="22">
        <v>6500</v>
      </c>
      <c r="Y85" s="4" cm="1">
        <f t="array" ref="Y85">_xlfn.IFS(AND($C$69="Yes", $C$80="Yes"),1/((1/AH85)+(1/AM85)+(1/AR85)), AND($C$69="Yes", $C$80="No"), 1/((1/AH85)+(1/AM85)), AND($C$69="No", $C$80="Yes"), 1/((1/AH85)+(1/AR85)), AND($C$69="No", $C$80="No"), 1/(1/AH85))</f>
        <v>366.8760378912616</v>
      </c>
      <c r="Z85" s="25">
        <f t="shared" si="16"/>
        <v>9.5231759468817092</v>
      </c>
      <c r="AA85" s="25">
        <f t="shared" si="14"/>
        <v>3.2727272727272729</v>
      </c>
      <c r="AB85" s="25">
        <f t="shared" si="17"/>
        <v>87.272727272727309</v>
      </c>
      <c r="AC85" s="25">
        <f t="shared" si="18"/>
        <v>4</v>
      </c>
      <c r="AE85" s="26">
        <f t="shared" si="19"/>
        <v>372.11817416856519</v>
      </c>
      <c r="AF85" s="27">
        <f t="shared" si="20"/>
        <v>1.7503159070000277E-3</v>
      </c>
      <c r="AG85" s="28">
        <f t="shared" si="21"/>
        <v>0.7142857142857143</v>
      </c>
      <c r="AH85" s="29">
        <f t="shared" si="15"/>
        <v>372.11710939564819</v>
      </c>
      <c r="AI85" s="11"/>
      <c r="AJ85" s="26">
        <f t="shared" si="22"/>
        <v>520.96544383599132</v>
      </c>
      <c r="AK85" s="27">
        <f t="shared" si="23"/>
        <v>0.20420352248333656</v>
      </c>
      <c r="AL85" s="29">
        <f t="shared" si="24"/>
        <v>60</v>
      </c>
      <c r="AM85" s="29">
        <f t="shared" si="25"/>
        <v>1.0000000000000001E-9</v>
      </c>
      <c r="AN85" s="9"/>
      <c r="AO85" s="26">
        <f t="shared" si="26"/>
        <v>26048.272191799566</v>
      </c>
      <c r="AP85" s="27">
        <f t="shared" si="27"/>
        <v>1.2252211349000194E-3</v>
      </c>
      <c r="AQ85" s="29">
        <f t="shared" si="28"/>
        <v>0.5</v>
      </c>
      <c r="AR85" s="29">
        <f t="shared" si="29"/>
        <v>26048.270971377213</v>
      </c>
      <c r="AS85" s="9"/>
    </row>
    <row r="86" spans="2:45" ht="15.6" x14ac:dyDescent="0.35">
      <c r="B86" s="2" t="s">
        <v>339</v>
      </c>
      <c r="C86" s="43">
        <f>C81*C84</f>
        <v>0.94</v>
      </c>
      <c r="D86" s="10" t="s">
        <v>8</v>
      </c>
      <c r="G86" s="13"/>
      <c r="X86" s="22">
        <v>7000</v>
      </c>
      <c r="Y86" s="4" cm="1">
        <f t="array" ref="Y86">_xlfn.IFS(AND($C$69="Yes", $C$80="Yes"),1/((1/AH86)+(1/AM86)+(1/AR86)), AND($C$69="Yes", $C$80="No"), 1/((1/AH86)+(1/AM86)), AND($C$69="No", $C$80="Yes"), 1/((1/AH86)+(1/AR86)), AND($C$69="No", $C$80="No"), 1/(1/AH86))</f>
        <v>340.6704530352672</v>
      </c>
      <c r="Z86" s="25">
        <f t="shared" si="16"/>
        <v>9.5231759468817092</v>
      </c>
      <c r="AA86" s="25">
        <f t="shared" si="14"/>
        <v>3.2727272727272729</v>
      </c>
      <c r="AB86" s="25">
        <f t="shared" si="17"/>
        <v>87.272727272727309</v>
      </c>
      <c r="AC86" s="25">
        <f t="shared" si="18"/>
        <v>4</v>
      </c>
      <c r="AE86" s="26">
        <f t="shared" si="19"/>
        <v>345.53830458509628</v>
      </c>
      <c r="AF86" s="27">
        <f t="shared" si="20"/>
        <v>1.8849555921538759E-3</v>
      </c>
      <c r="AG86" s="28">
        <f t="shared" si="21"/>
        <v>0.7142857142857143</v>
      </c>
      <c r="AH86" s="29">
        <f t="shared" si="15"/>
        <v>345.53715790701636</v>
      </c>
      <c r="AI86" s="11"/>
      <c r="AJ86" s="26">
        <f t="shared" si="22"/>
        <v>483.75362641913483</v>
      </c>
      <c r="AK86" s="27">
        <f t="shared" si="23"/>
        <v>0.21991148575128552</v>
      </c>
      <c r="AL86" s="29">
        <f t="shared" si="24"/>
        <v>60</v>
      </c>
      <c r="AM86" s="29">
        <f t="shared" si="25"/>
        <v>1.0000000000000001E-9</v>
      </c>
      <c r="AN86" s="9"/>
      <c r="AO86" s="26">
        <f t="shared" si="26"/>
        <v>24187.681320956741</v>
      </c>
      <c r="AP86" s="27">
        <f t="shared" si="27"/>
        <v>1.3194689145077129E-3</v>
      </c>
      <c r="AQ86" s="29">
        <f t="shared" si="28"/>
        <v>0.5</v>
      </c>
      <c r="AR86" s="29">
        <f t="shared" si="29"/>
        <v>24187.680006655748</v>
      </c>
      <c r="AS86" s="9"/>
    </row>
    <row r="87" spans="2:45" ht="15.6" x14ac:dyDescent="0.35">
      <c r="B87" s="2" t="s">
        <v>340</v>
      </c>
      <c r="C87" s="46">
        <f>C82/C84</f>
        <v>0.5</v>
      </c>
      <c r="D87" s="4" t="s">
        <v>21</v>
      </c>
      <c r="G87" s="13"/>
      <c r="X87" s="22">
        <v>7500</v>
      </c>
      <c r="Y87" s="4" cm="1">
        <f t="array" ref="Y87">_xlfn.IFS(AND($C$69="Yes", $C$80="Yes"),1/((1/AH87)+(1/AM87)+(1/AR87)), AND($C$69="Yes", $C$80="No"), 1/((1/AH87)+(1/AM87)), AND($C$69="No", $C$80="Yes"), 1/((1/AH87)+(1/AR87)), AND($C$69="No", $C$80="No"), 1/(1/AH87))</f>
        <v>317.95893554245271</v>
      </c>
      <c r="Z87" s="25">
        <f t="shared" si="16"/>
        <v>9.5231759468817092</v>
      </c>
      <c r="AA87" s="25">
        <f t="shared" si="14"/>
        <v>3.2727272727272729</v>
      </c>
      <c r="AB87" s="25">
        <f t="shared" si="17"/>
        <v>87.272727272727309</v>
      </c>
      <c r="AC87" s="25">
        <f t="shared" si="18"/>
        <v>4</v>
      </c>
      <c r="AE87" s="26">
        <f t="shared" si="19"/>
        <v>322.50241761275646</v>
      </c>
      <c r="AF87" s="27">
        <f t="shared" si="20"/>
        <v>2.0195952773077244E-3</v>
      </c>
      <c r="AG87" s="28">
        <f t="shared" si="21"/>
        <v>0.7142857142857143</v>
      </c>
      <c r="AH87" s="29">
        <f t="shared" si="15"/>
        <v>322.50118902961287</v>
      </c>
      <c r="AI87" s="11"/>
      <c r="AJ87" s="26">
        <f t="shared" si="22"/>
        <v>451.50338465785904</v>
      </c>
      <c r="AK87" s="27">
        <f t="shared" si="23"/>
        <v>0.23561944901923448</v>
      </c>
      <c r="AL87" s="29">
        <f t="shared" si="24"/>
        <v>60</v>
      </c>
      <c r="AM87" s="29">
        <f t="shared" si="25"/>
        <v>1.0000000000000001E-9</v>
      </c>
      <c r="AN87" s="9"/>
      <c r="AO87" s="26">
        <f t="shared" si="26"/>
        <v>22575.169232892957</v>
      </c>
      <c r="AP87" s="27">
        <f t="shared" si="27"/>
        <v>1.4137166941154068E-3</v>
      </c>
      <c r="AQ87" s="29">
        <f t="shared" si="28"/>
        <v>0.5</v>
      </c>
      <c r="AR87" s="29">
        <f t="shared" si="29"/>
        <v>22575.16782471332</v>
      </c>
      <c r="AS87" s="9"/>
    </row>
    <row r="88" spans="2:45" ht="15.6" x14ac:dyDescent="0.35">
      <c r="B88" s="2" t="s">
        <v>341</v>
      </c>
      <c r="C88" s="47">
        <f>C83/C84</f>
        <v>0.03</v>
      </c>
      <c r="D88" s="10" t="s">
        <v>5</v>
      </c>
      <c r="G88" s="13"/>
      <c r="X88" s="22">
        <v>8000</v>
      </c>
      <c r="Y88" s="4" cm="1">
        <f t="array" ref="Y88">_xlfn.IFS(AND($C$69="Yes", $C$80="Yes"),1/((1/AH88)+(1/AM88)+(1/AR88)), AND($C$69="Yes", $C$80="No"), 1/((1/AH88)+(1/AM88)), AND($C$69="No", $C$80="Yes"), 1/((1/AH88)+(1/AR88)), AND($C$69="No", $C$80="No"), 1/(1/AH88))</f>
        <v>298.08634778224649</v>
      </c>
      <c r="Z88" s="25">
        <f t="shared" si="16"/>
        <v>9.5231759468817092</v>
      </c>
      <c r="AA88" s="25">
        <f t="shared" si="14"/>
        <v>3.2727272727272729</v>
      </c>
      <c r="AB88" s="25">
        <f t="shared" si="17"/>
        <v>87.272727272727309</v>
      </c>
      <c r="AC88" s="25">
        <f t="shared" si="18"/>
        <v>4</v>
      </c>
      <c r="AE88" s="26">
        <f t="shared" si="19"/>
        <v>302.34601651195925</v>
      </c>
      <c r="AF88" s="27">
        <f t="shared" si="20"/>
        <v>2.1542349624615723E-3</v>
      </c>
      <c r="AG88" s="28">
        <f t="shared" si="21"/>
        <v>0.7142857142857143</v>
      </c>
      <c r="AH88" s="29">
        <f t="shared" si="15"/>
        <v>302.34470602385818</v>
      </c>
      <c r="AI88" s="11"/>
      <c r="AJ88" s="26">
        <f t="shared" si="22"/>
        <v>423.28442311674291</v>
      </c>
      <c r="AK88" s="27">
        <f t="shared" si="23"/>
        <v>0.25132741228718342</v>
      </c>
      <c r="AL88" s="29">
        <f t="shared" si="24"/>
        <v>60</v>
      </c>
      <c r="AM88" s="29">
        <f t="shared" si="25"/>
        <v>1.0000000000000001E-9</v>
      </c>
      <c r="AN88" s="9"/>
      <c r="AO88" s="26">
        <f t="shared" si="26"/>
        <v>21164.221155837149</v>
      </c>
      <c r="AP88" s="27">
        <f t="shared" si="27"/>
        <v>1.5079644737231006E-3</v>
      </c>
      <c r="AQ88" s="29">
        <f t="shared" si="28"/>
        <v>0.5</v>
      </c>
      <c r="AR88" s="29">
        <f t="shared" si="29"/>
        <v>21164.219653778873</v>
      </c>
      <c r="AS88" s="9"/>
    </row>
    <row r="89" spans="2:45" ht="15.6" x14ac:dyDescent="0.35">
      <c r="B89" s="2" t="s">
        <v>148</v>
      </c>
      <c r="C89" s="48">
        <f>1/(2*PI()*SQRT(C88*0.000000001*C86*0.000001))/1000</f>
        <v>29970.609664098363</v>
      </c>
      <c r="D89" s="10" t="s">
        <v>88</v>
      </c>
      <c r="G89" s="13"/>
      <c r="X89" s="22">
        <v>8500</v>
      </c>
      <c r="Y89" s="4" cm="1">
        <f t="array" ref="Y89">_xlfn.IFS(AND($C$69="Yes", $C$80="Yes"),1/((1/AH89)+(1/AM89)+(1/AR89)), AND($C$69="Yes", $C$80="No"), 1/((1/AH89)+(1/AM89)), AND($C$69="No", $C$80="Yes"), 1/((1/AH89)+(1/AR89)), AND($C$69="No", $C$80="No"), 1/(1/AH89))</f>
        <v>280.55170215480121</v>
      </c>
      <c r="Z89" s="25">
        <f t="shared" si="16"/>
        <v>9.5231759468817092</v>
      </c>
      <c r="AA89" s="25">
        <f t="shared" si="14"/>
        <v>3.2727272727272729</v>
      </c>
      <c r="AB89" s="25">
        <f t="shared" si="17"/>
        <v>87.272727272727309</v>
      </c>
      <c r="AC89" s="25">
        <f t="shared" si="18"/>
        <v>4</v>
      </c>
      <c r="AE89" s="26">
        <f t="shared" si="19"/>
        <v>284.56095671713808</v>
      </c>
      <c r="AF89" s="27">
        <f t="shared" si="20"/>
        <v>2.2888746476154207E-3</v>
      </c>
      <c r="AG89" s="28">
        <f t="shared" si="21"/>
        <v>0.7142857142857143</v>
      </c>
      <c r="AH89" s="29">
        <f t="shared" si="15"/>
        <v>284.55956432419288</v>
      </c>
      <c r="AI89" s="11"/>
      <c r="AJ89" s="26">
        <f t="shared" si="22"/>
        <v>398.38533940399338</v>
      </c>
      <c r="AK89" s="27">
        <f t="shared" si="23"/>
        <v>0.2670353755551324</v>
      </c>
      <c r="AL89" s="29">
        <f t="shared" si="24"/>
        <v>60</v>
      </c>
      <c r="AM89" s="29">
        <f t="shared" si="25"/>
        <v>1.0000000000000001E-9</v>
      </c>
      <c r="AN89" s="9"/>
      <c r="AO89" s="26">
        <f t="shared" si="26"/>
        <v>19919.266970199671</v>
      </c>
      <c r="AP89" s="27">
        <f t="shared" si="27"/>
        <v>1.6022122533307945E-3</v>
      </c>
      <c r="AQ89" s="29">
        <f t="shared" si="28"/>
        <v>0.5</v>
      </c>
      <c r="AR89" s="29">
        <f t="shared" si="29"/>
        <v>19919.265374262748</v>
      </c>
      <c r="AS89" s="9"/>
    </row>
    <row r="90" spans="2:45" x14ac:dyDescent="0.3">
      <c r="G90" s="13"/>
      <c r="X90" s="22">
        <v>9000</v>
      </c>
      <c r="Y90" s="4" cm="1">
        <f t="array" ref="Y90">_xlfn.IFS(AND($C$69="Yes", $C$80="Yes"),1/((1/AH90)+(1/AM90)+(1/AR90)), AND($C$69="Yes", $C$80="No"), 1/((1/AH90)+(1/AM90)), AND($C$69="No", $C$80="Yes"), 1/((1/AH90)+(1/AR90)), AND($C$69="No", $C$80="No"), 1/(1/AH90))</f>
        <v>264.96534163801488</v>
      </c>
      <c r="Z90" s="25">
        <f t="shared" si="16"/>
        <v>9.5231759468817092</v>
      </c>
      <c r="AA90" s="25">
        <f t="shared" si="14"/>
        <v>3.2727272727272729</v>
      </c>
      <c r="AB90" s="25">
        <f t="shared" si="17"/>
        <v>87.272727272727309</v>
      </c>
      <c r="AC90" s="25">
        <f t="shared" si="18"/>
        <v>4</v>
      </c>
      <c r="AE90" s="26">
        <f t="shared" si="19"/>
        <v>268.7520146772971</v>
      </c>
      <c r="AF90" s="27">
        <f t="shared" si="20"/>
        <v>2.423514332769269E-3</v>
      </c>
      <c r="AG90" s="28">
        <f t="shared" si="21"/>
        <v>0.7142857142857143</v>
      </c>
      <c r="AH90" s="29">
        <f t="shared" si="15"/>
        <v>268.75054037962809</v>
      </c>
      <c r="AI90" s="11"/>
      <c r="AJ90" s="26">
        <f t="shared" si="22"/>
        <v>376.25282054821594</v>
      </c>
      <c r="AK90" s="27">
        <f t="shared" si="23"/>
        <v>0.28274333882308145</v>
      </c>
      <c r="AL90" s="29">
        <f t="shared" si="24"/>
        <v>60</v>
      </c>
      <c r="AM90" s="29">
        <f t="shared" si="25"/>
        <v>1.0000000000000001E-9</v>
      </c>
      <c r="AN90" s="9"/>
      <c r="AO90" s="26">
        <f t="shared" si="26"/>
        <v>18812.641027410798</v>
      </c>
      <c r="AP90" s="27">
        <f t="shared" si="27"/>
        <v>1.6964600329384884E-3</v>
      </c>
      <c r="AQ90" s="29">
        <f t="shared" si="28"/>
        <v>0.5</v>
      </c>
      <c r="AR90" s="29">
        <f t="shared" si="29"/>
        <v>18812.639337595236</v>
      </c>
      <c r="AS90" s="9"/>
    </row>
    <row r="91" spans="2:45" ht="15.6" x14ac:dyDescent="0.35">
      <c r="B91" s="2" t="s">
        <v>277</v>
      </c>
      <c r="C91" s="47">
        <f>1000/(2*PI()*$C$39*1000*C64*0.000001)</f>
        <v>4.837536264191348</v>
      </c>
      <c r="D91" s="4" t="s">
        <v>21</v>
      </c>
      <c r="G91" s="13"/>
      <c r="X91" s="22">
        <v>9500</v>
      </c>
      <c r="Y91" s="4" cm="1">
        <f t="array" ref="Y91">_xlfn.IFS(AND($C$69="Yes", $C$80="Yes"),1/((1/AH91)+(1/AM91)+(1/AR91)), AND($C$69="Yes", $C$80="No"), 1/((1/AH91)+(1/AM91)), AND($C$69="No", $C$80="Yes"), 1/((1/AH91)+(1/AR91)), AND($C$69="No", $C$80="No"), 1/(1/AH91))</f>
        <v>251.01964226707148</v>
      </c>
      <c r="Z91" s="25">
        <f t="shared" si="16"/>
        <v>9.5231759468817092</v>
      </c>
      <c r="AA91" s="25">
        <f t="shared" si="14"/>
        <v>3.2727272727272729</v>
      </c>
      <c r="AB91" s="25">
        <f t="shared" si="17"/>
        <v>87.272727272727309</v>
      </c>
      <c r="AC91" s="25">
        <f t="shared" si="18"/>
        <v>4</v>
      </c>
      <c r="AE91" s="26">
        <f t="shared" si="19"/>
        <v>254.6071717995446</v>
      </c>
      <c r="AF91" s="27">
        <f t="shared" si="20"/>
        <v>2.558154017923117E-3</v>
      </c>
      <c r="AG91" s="28">
        <f t="shared" si="21"/>
        <v>0.7142857142857143</v>
      </c>
      <c r="AH91" s="29">
        <f t="shared" si="15"/>
        <v>254.6056155972793</v>
      </c>
      <c r="AI91" s="11"/>
      <c r="AJ91" s="26">
        <f t="shared" si="22"/>
        <v>356.45004051936252</v>
      </c>
      <c r="AK91" s="27">
        <f t="shared" si="23"/>
        <v>0.29845130209103032</v>
      </c>
      <c r="AL91" s="29">
        <f t="shared" si="24"/>
        <v>60</v>
      </c>
      <c r="AM91" s="29">
        <f t="shared" si="25"/>
        <v>1.0000000000000001E-9</v>
      </c>
      <c r="AN91" s="9"/>
      <c r="AO91" s="26">
        <f t="shared" si="26"/>
        <v>17822.502025968122</v>
      </c>
      <c r="AP91" s="27">
        <f t="shared" si="27"/>
        <v>1.7907078125461821E-3</v>
      </c>
      <c r="AQ91" s="29">
        <f t="shared" si="28"/>
        <v>0.5</v>
      </c>
      <c r="AR91" s="29">
        <f t="shared" si="29"/>
        <v>17822.50024227392</v>
      </c>
      <c r="AS91" s="9"/>
    </row>
    <row r="92" spans="2:45" ht="15.6" x14ac:dyDescent="0.35">
      <c r="B92" s="2" t="s">
        <v>141</v>
      </c>
      <c r="C92" s="47">
        <f>C64/(1+(C65/C91)^(2))</f>
        <v>64.396040353776016</v>
      </c>
      <c r="D92" s="10" t="s">
        <v>8</v>
      </c>
      <c r="G92" s="13"/>
      <c r="X92" s="22">
        <v>10000</v>
      </c>
      <c r="Y92" s="4" cm="1">
        <f t="array" ref="Y92">_xlfn.IFS(AND($C$69="Yes", $C$80="Yes"),1/((1/AH92)+(1/AM92)+(1/AR92)), AND($C$69="Yes", $C$80="No"), 1/((1/AH92)+(1/AM92)), AND($C$69="No", $C$80="Yes"), 1/((1/AH92)+(1/AR92)), AND($C$69="No", $C$80="No"), 1/(1/AH92))</f>
        <v>238.46850487011977</v>
      </c>
      <c r="Z92" s="25">
        <f t="shared" si="16"/>
        <v>9.5231759468817092</v>
      </c>
      <c r="AA92" s="25">
        <f t="shared" si="14"/>
        <v>3.2727272727272729</v>
      </c>
      <c r="AB92" s="25">
        <f t="shared" si="17"/>
        <v>87.272727272727309</v>
      </c>
      <c r="AC92" s="25">
        <f t="shared" si="18"/>
        <v>4</v>
      </c>
      <c r="AE92" s="26">
        <f t="shared" si="19"/>
        <v>241.87681320956742</v>
      </c>
      <c r="AF92" s="27">
        <f t="shared" si="20"/>
        <v>2.6927937030769658E-3</v>
      </c>
      <c r="AG92" s="28">
        <f t="shared" si="21"/>
        <v>0.7142857142857143</v>
      </c>
      <c r="AH92" s="29">
        <f t="shared" si="15"/>
        <v>241.87517510284033</v>
      </c>
      <c r="AI92" s="11"/>
      <c r="AJ92" s="26">
        <f t="shared" si="22"/>
        <v>338.6275384933943</v>
      </c>
      <c r="AK92" s="27">
        <f t="shared" si="23"/>
        <v>0.31415926535897931</v>
      </c>
      <c r="AL92" s="29">
        <f t="shared" si="24"/>
        <v>60</v>
      </c>
      <c r="AM92" s="29">
        <f t="shared" si="25"/>
        <v>1.0000000000000001E-9</v>
      </c>
      <c r="AN92" s="9"/>
      <c r="AO92" s="26">
        <f t="shared" si="26"/>
        <v>16931.376924669716</v>
      </c>
      <c r="AP92" s="27">
        <f t="shared" si="27"/>
        <v>1.8849555921538759E-3</v>
      </c>
      <c r="AQ92" s="29">
        <f t="shared" si="28"/>
        <v>0.5</v>
      </c>
      <c r="AR92" s="29">
        <f t="shared" si="29"/>
        <v>16931.375047096866</v>
      </c>
      <c r="AS92" s="9"/>
    </row>
    <row r="93" spans="2:45" ht="15.6" x14ac:dyDescent="0.35">
      <c r="B93" s="2" t="s">
        <v>142</v>
      </c>
      <c r="C93" s="47">
        <f>(C65^(2)+C91^(2))/C65</f>
        <v>33.476745664598653</v>
      </c>
      <c r="D93" s="4" t="s">
        <v>21</v>
      </c>
      <c r="G93" s="13"/>
      <c r="X93" s="22">
        <v>15000</v>
      </c>
      <c r="Y93" s="4" cm="1">
        <f t="array" ref="Y93">_xlfn.IFS(AND($C$69="Yes", $C$80="Yes"),1/((1/AH93)+(1/AM93)+(1/AR93)), AND($C$69="Yes", $C$80="No"), 1/((1/AH93)+(1/AM93)), AND($C$69="No", $C$80="Yes"), 1/((1/AH93)+(1/AR93)), AND($C$69="No", $C$80="No"), 1/(1/AH93))</f>
        <v>158.97767604664725</v>
      </c>
      <c r="Z93" s="25">
        <f t="shared" ref="Z93:Z124" si="30">$C$49</f>
        <v>9.5231759468817092</v>
      </c>
      <c r="AA93" s="25">
        <f t="shared" si="14"/>
        <v>3.2727272727272729</v>
      </c>
      <c r="AB93" s="25">
        <f t="shared" ref="AB93:AB124" si="31">$C$53</f>
        <v>87.272727272727309</v>
      </c>
      <c r="AC93" s="25">
        <f t="shared" ref="AC93:AC124" si="32">$C$57</f>
        <v>4</v>
      </c>
      <c r="AE93" s="26">
        <f t="shared" ref="AE93:AE124" si="33">1000/(2*PI()*$X93*$C$62*$C$59*0.000001)</f>
        <v>161.25120880637823</v>
      </c>
      <c r="AF93" s="27">
        <f t="shared" ref="AF93:AF124" si="34">2*PI()*$X93*((0.000000001*$C$61)/$C$62)*1000</f>
        <v>4.0391905546154488E-3</v>
      </c>
      <c r="AG93" s="28">
        <f t="shared" ref="AG93:AG124" si="35">($C$60)/$C$62</f>
        <v>0.7142857142857143</v>
      </c>
      <c r="AH93" s="29">
        <f t="shared" si="15"/>
        <v>161.24875166399218</v>
      </c>
      <c r="AI93" s="11"/>
      <c r="AJ93" s="26">
        <f t="shared" ref="AJ93:AJ124" si="36">1000/(2*PI()*$X93*$C$73*$C$70*0.000001)</f>
        <v>225.75169232892952</v>
      </c>
      <c r="AK93" s="27">
        <f t="shared" ref="AK93:AK124" si="37">2*PI()*$X93*((0.000000001*$C$72)/$C$73)*1000</f>
        <v>0.47123889803846897</v>
      </c>
      <c r="AL93" s="29">
        <f t="shared" ref="AL93:AL124" si="38">($C$71)/$C$73</f>
        <v>60</v>
      </c>
      <c r="AM93" s="29">
        <f t="shared" ref="AM93:AM124" si="39">IF($C$69="Yes", SQRT(AL93^(2)+ABS(AJ93-AK93)^(2)), 0.000000001)</f>
        <v>1.0000000000000001E-9</v>
      </c>
      <c r="AN93" s="9"/>
      <c r="AO93" s="26">
        <f t="shared" ref="AO93:AO124" si="40">1000/(2*PI()*$X93*$C$84*$C$81*0.000001)</f>
        <v>11287.584616446478</v>
      </c>
      <c r="AP93" s="27">
        <f t="shared" ref="AP93:AP124" si="41">2*PI()*$X93*((0.000000001*$C$83)/$C$84)*1000</f>
        <v>2.8274333882308137E-3</v>
      </c>
      <c r="AQ93" s="29">
        <f t="shared" ref="AQ93:AQ124" si="42">($C$82)/$C$84</f>
        <v>0.5</v>
      </c>
      <c r="AR93" s="29">
        <f t="shared" ref="AR93:AR124" si="43">IF($C$80="Yes", SQRT(AQ93^(2)+ABS(AO93-AP93)^(2)), 0.000000001)</f>
        <v>11287.581800087206</v>
      </c>
      <c r="AS93" s="9"/>
    </row>
    <row r="94" spans="2:45" ht="15.6" x14ac:dyDescent="0.35">
      <c r="B94" s="2" t="s">
        <v>279</v>
      </c>
      <c r="C94" s="47" t="str">
        <f>IF(C69="Yes", 1000/(2*PI()*$C$39*1000*C75*0.000001), "")</f>
        <v/>
      </c>
      <c r="D94" s="4" t="s">
        <v>21</v>
      </c>
      <c r="G94" s="13"/>
      <c r="X94" s="22">
        <v>20000</v>
      </c>
      <c r="Y94" s="4" cm="1">
        <f t="array" ref="Y94">_xlfn.IFS(AND($C$69="Yes", $C$80="Yes"),1/((1/AH94)+(1/AM94)+(1/AR94)), AND($C$69="Yes", $C$80="No"), 1/((1/AH94)+(1/AM94)), AND($C$69="No", $C$80="Yes"), 1/((1/AH94)+(1/AR94)), AND($C$69="No", $C$80="No"), 1/(1/AH94))</f>
        <v>119.23186349858935</v>
      </c>
      <c r="Z94" s="25">
        <f t="shared" si="30"/>
        <v>9.5231759468817092</v>
      </c>
      <c r="AA94" s="25">
        <f t="shared" ref="AA94:AA157" si="44">$C$47</f>
        <v>3.2727272727272729</v>
      </c>
      <c r="AB94" s="25">
        <f t="shared" si="31"/>
        <v>87.272727272727309</v>
      </c>
      <c r="AC94" s="25">
        <f t="shared" si="32"/>
        <v>4</v>
      </c>
      <c r="AE94" s="26">
        <f t="shared" si="33"/>
        <v>120.93840660478371</v>
      </c>
      <c r="AF94" s="27">
        <f t="shared" si="34"/>
        <v>5.3855874061539315E-3</v>
      </c>
      <c r="AG94" s="28">
        <f t="shared" si="35"/>
        <v>0.7142857142857143</v>
      </c>
      <c r="AH94" s="29">
        <f t="shared" ref="AH94:AH157" si="45">SQRT(AG94^(2)+ABS(AE94-AF94)^(2))</f>
        <v>120.93513044798486</v>
      </c>
      <c r="AI94" s="11"/>
      <c r="AJ94" s="26">
        <f t="shared" si="36"/>
        <v>169.31376924669715</v>
      </c>
      <c r="AK94" s="27">
        <f t="shared" si="37"/>
        <v>0.62831853071795862</v>
      </c>
      <c r="AL94" s="29">
        <f t="shared" si="38"/>
        <v>60</v>
      </c>
      <c r="AM94" s="29">
        <f t="shared" si="39"/>
        <v>1.0000000000000001E-9</v>
      </c>
      <c r="AN94" s="9"/>
      <c r="AO94" s="26">
        <f t="shared" si="40"/>
        <v>8465.6884623348578</v>
      </c>
      <c r="AP94" s="27">
        <f t="shared" si="41"/>
        <v>3.7699111843077517E-3</v>
      </c>
      <c r="AQ94" s="29">
        <f t="shared" si="42"/>
        <v>0.5</v>
      </c>
      <c r="AR94" s="29">
        <f t="shared" si="43"/>
        <v>8465.6847071891661</v>
      </c>
      <c r="AS94" s="9"/>
    </row>
    <row r="95" spans="2:45" ht="15.6" x14ac:dyDescent="0.35">
      <c r="B95" s="2" t="s">
        <v>280</v>
      </c>
      <c r="C95" s="43" t="str">
        <f>IF(C69="Yes", C75/(1+(C76/C94)^(2)), "")</f>
        <v/>
      </c>
      <c r="D95" s="10" t="s">
        <v>8</v>
      </c>
      <c r="G95" s="13"/>
      <c r="X95" s="22">
        <v>25000</v>
      </c>
      <c r="Y95" s="4" cm="1">
        <f t="array" ref="Y95">_xlfn.IFS(AND($C$69="Yes", $C$80="Yes"),1/((1/AH95)+(1/AM95)+(1/AR95)), AND($C$69="Yes", $C$80="No"), 1/((1/AH95)+(1/AM95)), AND($C$69="No", $C$80="Yes"), 1/((1/AH95)+(1/AR95)), AND($C$69="No", $C$80="No"), 1/(1/AH95))</f>
        <v>95.384057479664833</v>
      </c>
      <c r="Z95" s="25">
        <f t="shared" si="30"/>
        <v>9.5231759468817092</v>
      </c>
      <c r="AA95" s="25">
        <f t="shared" si="44"/>
        <v>3.2727272727272729</v>
      </c>
      <c r="AB95" s="25">
        <f t="shared" si="31"/>
        <v>87.272727272727309</v>
      </c>
      <c r="AC95" s="25">
        <f t="shared" si="32"/>
        <v>4</v>
      </c>
      <c r="AE95" s="26">
        <f t="shared" si="33"/>
        <v>96.750725283826952</v>
      </c>
      <c r="AF95" s="27">
        <f t="shared" si="34"/>
        <v>6.7319842576924133E-3</v>
      </c>
      <c r="AG95" s="28">
        <f t="shared" si="35"/>
        <v>0.7142857142857143</v>
      </c>
      <c r="AH95" s="29">
        <f t="shared" si="45"/>
        <v>96.746630140944617</v>
      </c>
      <c r="AI95" s="11"/>
      <c r="AJ95" s="26">
        <f t="shared" si="36"/>
        <v>135.45101539735776</v>
      </c>
      <c r="AK95" s="27">
        <f t="shared" si="37"/>
        <v>0.78539816339744817</v>
      </c>
      <c r="AL95" s="29">
        <f t="shared" si="38"/>
        <v>60</v>
      </c>
      <c r="AM95" s="29">
        <f t="shared" si="39"/>
        <v>1.0000000000000001E-9</v>
      </c>
      <c r="AN95" s="9"/>
      <c r="AO95" s="26">
        <f t="shared" si="40"/>
        <v>6772.5507698678866</v>
      </c>
      <c r="AP95" s="27">
        <f t="shared" si="41"/>
        <v>4.7123889803846897E-3</v>
      </c>
      <c r="AQ95" s="29">
        <f t="shared" si="42"/>
        <v>0.5</v>
      </c>
      <c r="AR95" s="29">
        <f t="shared" si="43"/>
        <v>6772.5460759357757</v>
      </c>
      <c r="AS95" s="9"/>
    </row>
    <row r="96" spans="2:45" ht="15.6" x14ac:dyDescent="0.35">
      <c r="B96" s="2" t="s">
        <v>147</v>
      </c>
      <c r="C96" s="43" t="str">
        <f>IF(C69="Yes", (C76^(2)+C94^(2))/C76, "")</f>
        <v/>
      </c>
      <c r="D96" s="4" t="s">
        <v>21</v>
      </c>
      <c r="G96" s="13"/>
      <c r="X96" s="22">
        <v>30000</v>
      </c>
      <c r="Y96" s="4" cm="1">
        <f t="array" ref="Y96">_xlfn.IFS(AND($C$69="Yes", $C$80="Yes"),1/((1/AH96)+(1/AM96)+(1/AR96)), AND($C$69="Yes", $C$80="No"), 1/((1/AH96)+(1/AM96)), AND($C$69="No", $C$80="Yes"), 1/((1/AH96)+(1/AR96)), AND($C$69="No", $C$80="No"), 1/(1/AH96))</f>
        <v>79.485254745630968</v>
      </c>
      <c r="Z96" s="25">
        <f t="shared" si="30"/>
        <v>9.5231759468817092</v>
      </c>
      <c r="AA96" s="25">
        <f t="shared" si="44"/>
        <v>3.2727272727272729</v>
      </c>
      <c r="AB96" s="25">
        <f t="shared" si="31"/>
        <v>87.272727272727309</v>
      </c>
      <c r="AC96" s="25">
        <f t="shared" si="32"/>
        <v>4</v>
      </c>
      <c r="AE96" s="26">
        <f t="shared" si="33"/>
        <v>80.625604403189115</v>
      </c>
      <c r="AF96" s="27">
        <f t="shared" si="34"/>
        <v>8.0783811092308977E-3</v>
      </c>
      <c r="AG96" s="28">
        <f t="shared" si="35"/>
        <v>0.7142857142857143</v>
      </c>
      <c r="AH96" s="29">
        <f t="shared" si="45"/>
        <v>80.620690309636771</v>
      </c>
      <c r="AI96" s="11"/>
      <c r="AJ96" s="26">
        <f t="shared" si="36"/>
        <v>112.87584616446476</v>
      </c>
      <c r="AK96" s="27">
        <f t="shared" si="37"/>
        <v>0.94247779607693793</v>
      </c>
      <c r="AL96" s="29">
        <f t="shared" si="38"/>
        <v>60</v>
      </c>
      <c r="AM96" s="29">
        <f t="shared" si="39"/>
        <v>1.0000000000000001E-9</v>
      </c>
      <c r="AN96" s="9"/>
      <c r="AO96" s="26">
        <f t="shared" si="40"/>
        <v>5643.7923082232392</v>
      </c>
      <c r="AP96" s="27">
        <f t="shared" si="41"/>
        <v>5.6548667764616273E-3</v>
      </c>
      <c r="AQ96" s="29">
        <f t="shared" si="42"/>
        <v>0.5</v>
      </c>
      <c r="AR96" s="29">
        <f t="shared" si="43"/>
        <v>5643.7866755047135</v>
      </c>
      <c r="AS96" s="9"/>
    </row>
    <row r="97" spans="1:45" ht="15.6" x14ac:dyDescent="0.35">
      <c r="B97" s="2" t="s">
        <v>282</v>
      </c>
      <c r="C97" s="43">
        <f>IF(C80="Yes", 1000/(2*PI()*$C$39*1000*C86*0.000001), "")</f>
        <v>338.62753849339435</v>
      </c>
      <c r="D97" s="4" t="s">
        <v>21</v>
      </c>
      <c r="G97" s="13"/>
      <c r="X97" s="22">
        <v>35000</v>
      </c>
      <c r="Y97" s="4" cm="1">
        <f t="array" ref="Y97">_xlfn.IFS(AND($C$69="Yes", $C$80="Yes"),1/((1/AH97)+(1/AM97)+(1/AR97)), AND($C$69="Yes", $C$80="No"), 1/((1/AH97)+(1/AM97)), AND($C$69="No", $C$80="Yes"), 1/((1/AH97)+(1/AR97)), AND($C$69="No", $C$80="No"), 1/(1/AH97))</f>
        <v>68.128739624256809</v>
      </c>
      <c r="Z97" s="25">
        <f t="shared" si="30"/>
        <v>9.5231759468817092</v>
      </c>
      <c r="AA97" s="25">
        <f t="shared" si="44"/>
        <v>3.2727272727272729</v>
      </c>
      <c r="AB97" s="25">
        <f t="shared" si="31"/>
        <v>87.272727272727309</v>
      </c>
      <c r="AC97" s="25">
        <f t="shared" si="32"/>
        <v>4</v>
      </c>
      <c r="AE97" s="26">
        <f t="shared" si="33"/>
        <v>69.10766091701926</v>
      </c>
      <c r="AF97" s="27">
        <f t="shared" si="34"/>
        <v>9.4247779607693795E-3</v>
      </c>
      <c r="AG97" s="28">
        <f t="shared" si="35"/>
        <v>0.7142857142857143</v>
      </c>
      <c r="AH97" s="29">
        <f t="shared" si="45"/>
        <v>69.10192791529569</v>
      </c>
      <c r="AI97" s="11"/>
      <c r="AJ97" s="26">
        <f t="shared" si="36"/>
        <v>96.750725283826952</v>
      </c>
      <c r="AK97" s="27">
        <f t="shared" si="37"/>
        <v>1.0995574287564276</v>
      </c>
      <c r="AL97" s="29">
        <f t="shared" si="38"/>
        <v>60</v>
      </c>
      <c r="AM97" s="29">
        <f t="shared" si="39"/>
        <v>1.0000000000000001E-9</v>
      </c>
      <c r="AN97" s="9"/>
      <c r="AO97" s="26">
        <f t="shared" si="40"/>
        <v>4837.536264191348</v>
      </c>
      <c r="AP97" s="27">
        <f t="shared" si="41"/>
        <v>6.5973445725385658E-3</v>
      </c>
      <c r="AQ97" s="29">
        <f t="shared" si="42"/>
        <v>0.5</v>
      </c>
      <c r="AR97" s="29">
        <f t="shared" si="43"/>
        <v>4837.5296926864103</v>
      </c>
      <c r="AS97" s="9"/>
    </row>
    <row r="98" spans="1:45" ht="15.6" x14ac:dyDescent="0.35">
      <c r="B98" s="2" t="s">
        <v>283</v>
      </c>
      <c r="C98" s="43">
        <f>IF(C80="Yes", C86/(1+(C87/C97)^(2)), "")</f>
        <v>0.93999795062059244</v>
      </c>
      <c r="D98" s="10" t="s">
        <v>8</v>
      </c>
      <c r="G98" s="13"/>
      <c r="X98" s="22">
        <v>40000</v>
      </c>
      <c r="Y98" s="4" cm="1">
        <f t="array" ref="Y98">_xlfn.IFS(AND($C$69="Yes", $C$80="Yes"),1/((1/AH98)+(1/AM98)+(1/AR98)), AND($C$69="Yes", $C$80="No"), 1/((1/AH98)+(1/AM98)), AND($C$69="No", $C$80="Yes"), 1/((1/AH98)+(1/AR98)), AND($C$69="No", $C$80="No"), 1/(1/AH98))</f>
        <v>59.61115428281677</v>
      </c>
      <c r="Z98" s="25">
        <f t="shared" si="30"/>
        <v>9.5231759468817092</v>
      </c>
      <c r="AA98" s="25">
        <f t="shared" si="44"/>
        <v>3.2727272727272729</v>
      </c>
      <c r="AB98" s="25">
        <f t="shared" si="31"/>
        <v>87.272727272727309</v>
      </c>
      <c r="AC98" s="25">
        <f t="shared" si="32"/>
        <v>4</v>
      </c>
      <c r="AE98" s="26">
        <f t="shared" si="33"/>
        <v>60.469203302391854</v>
      </c>
      <c r="AF98" s="27">
        <f t="shared" si="34"/>
        <v>1.0771174812307863E-2</v>
      </c>
      <c r="AG98" s="28">
        <f t="shared" si="35"/>
        <v>0.7142857142857143</v>
      </c>
      <c r="AH98" s="29">
        <f t="shared" si="45"/>
        <v>60.462651442082624</v>
      </c>
      <c r="AI98" s="11"/>
      <c r="AJ98" s="26">
        <f t="shared" si="36"/>
        <v>84.656884623348574</v>
      </c>
      <c r="AK98" s="27">
        <f t="shared" si="37"/>
        <v>1.2566370614359172</v>
      </c>
      <c r="AL98" s="29">
        <f t="shared" si="38"/>
        <v>60</v>
      </c>
      <c r="AM98" s="29">
        <f t="shared" si="39"/>
        <v>1.0000000000000001E-9</v>
      </c>
      <c r="AN98" s="9"/>
      <c r="AO98" s="26">
        <f t="shared" si="40"/>
        <v>4232.8442311674289</v>
      </c>
      <c r="AP98" s="27">
        <f t="shared" si="41"/>
        <v>7.5398223686155034E-3</v>
      </c>
      <c r="AQ98" s="29">
        <f t="shared" si="42"/>
        <v>0.5</v>
      </c>
      <c r="AR98" s="29">
        <f t="shared" si="43"/>
        <v>4232.8367208760837</v>
      </c>
      <c r="AS98" s="9"/>
    </row>
    <row r="99" spans="1:45" ht="15.6" x14ac:dyDescent="0.35">
      <c r="B99" s="2" t="s">
        <v>284</v>
      </c>
      <c r="C99" s="43">
        <f>IF(C80="Yes", (C87^(2)+C97^(2))/C87, "")</f>
        <v>229337.71965219054</v>
      </c>
      <c r="D99" s="4" t="s">
        <v>21</v>
      </c>
      <c r="G99" s="13"/>
      <c r="X99" s="22">
        <v>45000</v>
      </c>
      <c r="Y99" s="4" cm="1">
        <f t="array" ref="Y99">_xlfn.IFS(AND($C$69="Yes", $C$80="Yes"),1/((1/AH99)+(1/AM99)+(1/AR99)), AND($C$69="Yes", $C$80="No"), 1/((1/AH99)+(1/AM99)), AND($C$69="No", $C$80="Yes"), 1/((1/AH99)+(1/AR99)), AND($C$69="No", $C$80="No"), 1/(1/AH99))</f>
        <v>52.986188817255474</v>
      </c>
      <c r="Z99" s="25">
        <f t="shared" si="30"/>
        <v>9.5231759468817092</v>
      </c>
      <c r="AA99" s="25">
        <f t="shared" si="44"/>
        <v>3.2727272727272729</v>
      </c>
      <c r="AB99" s="25">
        <f t="shared" si="31"/>
        <v>87.272727272727309</v>
      </c>
      <c r="AC99" s="25">
        <f t="shared" si="32"/>
        <v>4</v>
      </c>
      <c r="AE99" s="26">
        <f t="shared" si="33"/>
        <v>53.750402935459427</v>
      </c>
      <c r="AF99" s="27">
        <f t="shared" si="34"/>
        <v>1.2117571663846347E-2</v>
      </c>
      <c r="AG99" s="28">
        <f t="shared" si="35"/>
        <v>0.7142857142857143</v>
      </c>
      <c r="AH99" s="29">
        <f t="shared" si="45"/>
        <v>53.743032273238541</v>
      </c>
      <c r="AI99" s="11"/>
      <c r="AJ99" s="26">
        <f t="shared" si="36"/>
        <v>75.250564109643179</v>
      </c>
      <c r="AK99" s="27">
        <f t="shared" si="37"/>
        <v>1.4137166941154071</v>
      </c>
      <c r="AL99" s="29">
        <f t="shared" si="38"/>
        <v>60</v>
      </c>
      <c r="AM99" s="29">
        <f t="shared" si="39"/>
        <v>1.0000000000000001E-9</v>
      </c>
      <c r="AN99" s="9"/>
      <c r="AO99" s="26">
        <f t="shared" si="40"/>
        <v>3762.5282054821587</v>
      </c>
      <c r="AP99" s="27">
        <f t="shared" si="41"/>
        <v>8.4823001646924419E-3</v>
      </c>
      <c r="AQ99" s="29">
        <f t="shared" si="42"/>
        <v>0.5</v>
      </c>
      <c r="AR99" s="29">
        <f t="shared" si="43"/>
        <v>3762.5197564044111</v>
      </c>
      <c r="AS99" s="9"/>
    </row>
    <row r="100" spans="1:45" ht="15.6" x14ac:dyDescent="0.35">
      <c r="B100" s="2" t="s">
        <v>151</v>
      </c>
      <c r="C100" s="47" cm="1">
        <f t="array" ref="C100">_xlfn.IFS(AND(C69="Yes", C80="Yes"), SUM(C92,C95,C98), AND(C69="Yes", C80="No"), SUM(C92,C95), AND(C69="No", C80="Yes"), SUM(C92,C98), AND(C69="No", C80="No"), SUM(C92))</f>
        <v>65.33603830439661</v>
      </c>
      <c r="D100" s="10" t="s">
        <v>8</v>
      </c>
      <c r="G100" s="13"/>
      <c r="X100" s="22">
        <v>50000</v>
      </c>
      <c r="Y100" s="4" cm="1">
        <f t="array" ref="Y100">_xlfn.IFS(AND($C$69="Yes", $C$80="Yes"),1/((1/AH100)+(1/AM100)+(1/AR100)), AND($C$69="Yes", $C$80="No"), 1/((1/AH100)+(1/AM100)), AND($C$69="No", $C$80="Yes"), 1/((1/AH100)+(1/AR100)), AND($C$69="No", $C$80="No"), 1/(1/AH100))</f>
        <v>47.68605728785365</v>
      </c>
      <c r="Z100" s="25">
        <f t="shared" si="30"/>
        <v>9.5231759468817092</v>
      </c>
      <c r="AA100" s="25">
        <f t="shared" si="44"/>
        <v>3.2727272727272729</v>
      </c>
      <c r="AB100" s="25">
        <f t="shared" si="31"/>
        <v>87.272727272727309</v>
      </c>
      <c r="AC100" s="25">
        <f t="shared" si="32"/>
        <v>4</v>
      </c>
      <c r="AE100" s="26">
        <f t="shared" si="33"/>
        <v>48.375362641913476</v>
      </c>
      <c r="AF100" s="27">
        <f t="shared" si="34"/>
        <v>1.3463968515384827E-2</v>
      </c>
      <c r="AG100" s="28">
        <f t="shared" si="35"/>
        <v>0.7142857142857143</v>
      </c>
      <c r="AH100" s="29">
        <f t="shared" si="45"/>
        <v>48.367173241545316</v>
      </c>
      <c r="AI100" s="11"/>
      <c r="AJ100" s="26">
        <f t="shared" si="36"/>
        <v>67.725507698678882</v>
      </c>
      <c r="AK100" s="27">
        <f t="shared" si="37"/>
        <v>1.5707963267948963</v>
      </c>
      <c r="AL100" s="29">
        <f t="shared" si="38"/>
        <v>60</v>
      </c>
      <c r="AM100" s="29">
        <f t="shared" si="39"/>
        <v>1.0000000000000001E-9</v>
      </c>
      <c r="AN100" s="9"/>
      <c r="AO100" s="26">
        <f t="shared" si="40"/>
        <v>3386.2753849339433</v>
      </c>
      <c r="AP100" s="27">
        <f t="shared" si="41"/>
        <v>9.4247779607693795E-3</v>
      </c>
      <c r="AQ100" s="29">
        <f t="shared" si="42"/>
        <v>0.5</v>
      </c>
      <c r="AR100" s="29">
        <f t="shared" si="43"/>
        <v>3386.2659970697987</v>
      </c>
      <c r="AS100" s="9"/>
    </row>
    <row r="101" spans="1:45" ht="15.6" x14ac:dyDescent="0.35">
      <c r="B101" s="2" t="s">
        <v>152</v>
      </c>
      <c r="C101" s="47">
        <f>1000/(2*PI()*$C$39*1000*C100*0.000001)</f>
        <v>4.8718883857145485</v>
      </c>
      <c r="D101" s="4" t="s">
        <v>21</v>
      </c>
      <c r="G101" s="13"/>
      <c r="X101" s="22">
        <v>55000</v>
      </c>
      <c r="Y101" s="4" cm="1">
        <f t="array" ref="Y101">_xlfn.IFS(AND($C$69="Yes", $C$80="Yes"),1/((1/AH101)+(1/AM101)+(1/AR101)), AND($C$69="Yes", $C$80="No"), 1/((1/AH101)+(1/AM101)), AND($C$69="No", $C$80="Yes"), 1/((1/AH101)+(1/AR101)), AND($C$69="No", $C$80="No"), 1/(1/AH101))</f>
        <v>43.349441371803749</v>
      </c>
      <c r="Z101" s="25">
        <f t="shared" si="30"/>
        <v>9.5231759468817092</v>
      </c>
      <c r="AA101" s="25">
        <f t="shared" si="44"/>
        <v>3.2727272727272729</v>
      </c>
      <c r="AB101" s="25">
        <f t="shared" si="31"/>
        <v>87.272727272727309</v>
      </c>
      <c r="AC101" s="25">
        <f t="shared" si="32"/>
        <v>4</v>
      </c>
      <c r="AE101" s="26">
        <f t="shared" si="33"/>
        <v>43.977602401739524</v>
      </c>
      <c r="AF101" s="27">
        <f t="shared" si="34"/>
        <v>1.481036536692331E-2</v>
      </c>
      <c r="AG101" s="28">
        <f t="shared" si="35"/>
        <v>0.7142857142857143</v>
      </c>
      <c r="AH101" s="29">
        <f t="shared" si="45"/>
        <v>43.96859433408099</v>
      </c>
      <c r="AI101" s="11"/>
      <c r="AJ101" s="26">
        <f t="shared" si="36"/>
        <v>61.568643362435338</v>
      </c>
      <c r="AK101" s="27">
        <f t="shared" si="37"/>
        <v>1.7278759594743862</v>
      </c>
      <c r="AL101" s="29">
        <f t="shared" si="38"/>
        <v>60</v>
      </c>
      <c r="AM101" s="29">
        <f t="shared" si="39"/>
        <v>1.0000000000000001E-9</v>
      </c>
      <c r="AN101" s="9"/>
      <c r="AO101" s="26">
        <f t="shared" si="40"/>
        <v>3078.4321681217671</v>
      </c>
      <c r="AP101" s="27">
        <f t="shared" si="41"/>
        <v>1.0367255756846317E-2</v>
      </c>
      <c r="AQ101" s="29">
        <f t="shared" si="42"/>
        <v>0.5</v>
      </c>
      <c r="AR101" s="29">
        <f t="shared" si="43"/>
        <v>3078.4218414712318</v>
      </c>
      <c r="AS101" s="9"/>
    </row>
    <row r="102" spans="1:45" ht="15.6" x14ac:dyDescent="0.35">
      <c r="B102" s="2" t="s">
        <v>153</v>
      </c>
      <c r="C102" s="47" cm="1">
        <f t="array" ref="C102">_xlfn.IFS(AND($C$69="Yes", $C$80="Yes"), 1/((1/C93)+(1/C96)+(1/C99)), AND($C$69="Yes", $C$80="No"), 1/((1/C93)+(1/C96)), AND($C$69="No", $C$80="Yes"), 1/((1/C93)+(1/C99)), AND($C$69="No", $C$80="No"), 1/((1/C93)))</f>
        <v>33.471859730715536</v>
      </c>
      <c r="D102" s="4" t="s">
        <v>21</v>
      </c>
      <c r="G102" s="13"/>
      <c r="X102" s="22">
        <v>60000</v>
      </c>
      <c r="Y102" s="4" cm="1">
        <f t="array" ref="Y102">_xlfn.IFS(AND($C$69="Yes", $C$80="Yes"),1/((1/AH102)+(1/AM102)+(1/AR102)), AND($C$69="Yes", $C$80="No"), 1/((1/AH102)+(1/AM102)), AND($C$69="No", $C$80="Yes"), 1/((1/AH102)+(1/AR102)), AND($C$69="No", $C$80="No"), 1/(1/AH102))</f>
        <v>39.735462189497888</v>
      </c>
      <c r="Z102" s="25">
        <f t="shared" si="30"/>
        <v>9.5231759468817092</v>
      </c>
      <c r="AA102" s="25">
        <f t="shared" si="44"/>
        <v>3.2727272727272729</v>
      </c>
      <c r="AB102" s="25">
        <f t="shared" si="31"/>
        <v>87.272727272727309</v>
      </c>
      <c r="AC102" s="25">
        <f t="shared" si="32"/>
        <v>4</v>
      </c>
      <c r="AE102" s="26">
        <f t="shared" si="33"/>
        <v>40.312802201594558</v>
      </c>
      <c r="AF102" s="27">
        <f t="shared" si="34"/>
        <v>1.6156762218461795E-2</v>
      </c>
      <c r="AG102" s="28">
        <f t="shared" si="35"/>
        <v>0.7142857142857143</v>
      </c>
      <c r="AH102" s="29">
        <f t="shared" si="45"/>
        <v>40.30297554459748</v>
      </c>
      <c r="AI102" s="11"/>
      <c r="AJ102" s="26">
        <f t="shared" si="36"/>
        <v>56.437923082232381</v>
      </c>
      <c r="AK102" s="27">
        <f t="shared" si="37"/>
        <v>1.8849555921538759</v>
      </c>
      <c r="AL102" s="29">
        <f t="shared" si="38"/>
        <v>60</v>
      </c>
      <c r="AM102" s="29">
        <f t="shared" si="39"/>
        <v>1.0000000000000001E-9</v>
      </c>
      <c r="AN102" s="9"/>
      <c r="AO102" s="26">
        <f t="shared" si="40"/>
        <v>2821.8961541116196</v>
      </c>
      <c r="AP102" s="27">
        <f t="shared" si="41"/>
        <v>1.1309733552923255E-2</v>
      </c>
      <c r="AQ102" s="29">
        <f t="shared" si="42"/>
        <v>0.5</v>
      </c>
      <c r="AR102" s="29">
        <f t="shared" si="43"/>
        <v>2821.8848886747001</v>
      </c>
      <c r="AS102" s="9"/>
    </row>
    <row r="103" spans="1:45" ht="15.6" x14ac:dyDescent="0.35">
      <c r="A103" t="str">
        <f>IF(C103&gt;=C46,"GOOD","BAD")</f>
        <v>GOOD</v>
      </c>
      <c r="B103" s="2" t="s">
        <v>154</v>
      </c>
      <c r="C103" s="47">
        <f>C100*(1+(C101/C102)^(2))</f>
        <v>66.720203011815713</v>
      </c>
      <c r="D103" s="10" t="s">
        <v>8</v>
      </c>
      <c r="E103" s="30"/>
      <c r="G103" s="13"/>
      <c r="X103" s="22">
        <v>65000</v>
      </c>
      <c r="Y103" s="4" cm="1">
        <f t="array" ref="Y103">_xlfn.IFS(AND($C$69="Yes", $C$80="Yes"),1/((1/AH103)+(1/AM103)+(1/AR103)), AND($C$69="Yes", $C$80="No"), 1/((1/AH103)+(1/AM103)), AND($C$69="No", $C$80="Yes"), 1/((1/AH103)+(1/AR103)), AND($C$69="No", $C$80="No"), 1/(1/AH103))</f>
        <v>36.677357441759916</v>
      </c>
      <c r="Z103" s="25">
        <f t="shared" si="30"/>
        <v>9.5231759468817092</v>
      </c>
      <c r="AA103" s="25">
        <f t="shared" si="44"/>
        <v>3.2727272727272729</v>
      </c>
      <c r="AB103" s="25">
        <f t="shared" si="31"/>
        <v>87.272727272727309</v>
      </c>
      <c r="AC103" s="25">
        <f t="shared" si="32"/>
        <v>4</v>
      </c>
      <c r="AE103" s="26">
        <f t="shared" si="33"/>
        <v>37.211817416856519</v>
      </c>
      <c r="AF103" s="27">
        <f t="shared" si="34"/>
        <v>1.7503159070000277E-2</v>
      </c>
      <c r="AG103" s="28">
        <f t="shared" si="35"/>
        <v>0.7142857142857143</v>
      </c>
      <c r="AH103" s="29">
        <f t="shared" si="45"/>
        <v>37.201172255570306</v>
      </c>
      <c r="AJ103" s="26">
        <f t="shared" si="36"/>
        <v>52.096544383599131</v>
      </c>
      <c r="AK103" s="27">
        <f t="shared" si="37"/>
        <v>2.0420352248333655</v>
      </c>
      <c r="AL103" s="29">
        <f t="shared" si="38"/>
        <v>60</v>
      </c>
      <c r="AM103" s="29">
        <f t="shared" si="39"/>
        <v>1.0000000000000001E-9</v>
      </c>
      <c r="AO103" s="26">
        <f t="shared" si="40"/>
        <v>2604.8272191799565</v>
      </c>
      <c r="AP103" s="27">
        <f t="shared" si="41"/>
        <v>1.2252211349000194E-2</v>
      </c>
      <c r="AQ103" s="29">
        <f t="shared" si="42"/>
        <v>0.5</v>
      </c>
      <c r="AR103" s="29">
        <f t="shared" si="43"/>
        <v>2604.8150149566609</v>
      </c>
      <c r="AS103" s="9"/>
    </row>
    <row r="104" spans="1:45" ht="15.6" x14ac:dyDescent="0.35">
      <c r="B104" s="2" t="s">
        <v>287</v>
      </c>
      <c r="C104" s="46">
        <f>1000/(2*PI()*$C$39*1000*C103*0.000001)</f>
        <v>4.7708171110843312</v>
      </c>
      <c r="D104" s="4" t="s">
        <v>21</v>
      </c>
      <c r="G104" s="13"/>
      <c r="X104" s="22">
        <v>70000</v>
      </c>
      <c r="Y104" s="4" cm="1">
        <f t="array" ref="Y104">_xlfn.IFS(AND($C$69="Yes", $C$80="Yes"),1/((1/AH104)+(1/AM104)+(1/AR104)), AND($C$69="Yes", $C$80="No"), 1/((1/AH104)+(1/AM104)), AND($C$69="No", $C$80="Yes"), 1/((1/AH104)+(1/AR104)), AND($C$69="No", $C$80="No"), 1/(1/AH104))</f>
        <v>34.056011202549485</v>
      </c>
      <c r="Z104" s="25">
        <f t="shared" si="30"/>
        <v>9.5231759468817092</v>
      </c>
      <c r="AA104" s="25">
        <f t="shared" si="44"/>
        <v>3.2727272727272729</v>
      </c>
      <c r="AB104" s="25">
        <f t="shared" si="31"/>
        <v>87.272727272727309</v>
      </c>
      <c r="AC104" s="25">
        <f t="shared" si="32"/>
        <v>4</v>
      </c>
      <c r="AE104" s="26">
        <f t="shared" si="33"/>
        <v>34.55383045850963</v>
      </c>
      <c r="AF104" s="27">
        <f t="shared" si="34"/>
        <v>1.8849555921538759E-2</v>
      </c>
      <c r="AG104" s="28">
        <f t="shared" si="35"/>
        <v>0.7142857142857143</v>
      </c>
      <c r="AH104" s="29">
        <f t="shared" si="45"/>
        <v>34.542366885084128</v>
      </c>
      <c r="AJ104" s="26">
        <f t="shared" si="36"/>
        <v>48.375362641913476</v>
      </c>
      <c r="AK104" s="27">
        <f t="shared" si="37"/>
        <v>2.1991148575128552</v>
      </c>
      <c r="AL104" s="29">
        <f t="shared" si="38"/>
        <v>60</v>
      </c>
      <c r="AM104" s="29">
        <f t="shared" si="39"/>
        <v>1.0000000000000001E-9</v>
      </c>
      <c r="AO104" s="26">
        <f t="shared" si="40"/>
        <v>2418.768132095674</v>
      </c>
      <c r="AP104" s="27">
        <f t="shared" si="41"/>
        <v>1.3194689145077132E-2</v>
      </c>
      <c r="AQ104" s="29">
        <f t="shared" si="42"/>
        <v>0.5</v>
      </c>
      <c r="AR104" s="29">
        <f t="shared" si="43"/>
        <v>2418.7549890860096</v>
      </c>
      <c r="AS104" s="9"/>
    </row>
    <row r="105" spans="1:45" ht="15.6" x14ac:dyDescent="0.35">
      <c r="A105" t="str">
        <f>IF(C105&lt;C47,"GOOD","BAD")</f>
        <v>GOOD</v>
      </c>
      <c r="B105" s="2" t="s">
        <v>155</v>
      </c>
      <c r="C105" s="46">
        <f>(C102*0.001)/(1+(C102/C101)^(2))*1000</f>
        <v>0.69440086869541617</v>
      </c>
      <c r="D105" s="4" t="s">
        <v>21</v>
      </c>
      <c r="G105" s="13"/>
      <c r="X105" s="22">
        <v>75000</v>
      </c>
      <c r="Y105" s="4" cm="1">
        <f t="array" ref="Y105">_xlfn.IFS(AND($C$69="Yes", $C$80="Yes"),1/((1/AH105)+(1/AM105)+(1/AR105)), AND($C$69="Yes", $C$80="No"), 1/((1/AH105)+(1/AM105)), AND($C$69="No", $C$80="Yes"), 1/((1/AH105)+(1/AR105)), AND($C$69="No", $C$80="No"), 1/(1/AH105))</f>
        <v>31.784071794584708</v>
      </c>
      <c r="Z105" s="25">
        <f t="shared" si="30"/>
        <v>9.5231759468817092</v>
      </c>
      <c r="AA105" s="25">
        <f t="shared" si="44"/>
        <v>3.2727272727272729</v>
      </c>
      <c r="AB105" s="25">
        <f t="shared" si="31"/>
        <v>87.272727272727309</v>
      </c>
      <c r="AC105" s="25">
        <f t="shared" si="32"/>
        <v>4</v>
      </c>
      <c r="AE105" s="26">
        <f t="shared" si="33"/>
        <v>32.250241761275653</v>
      </c>
      <c r="AF105" s="27">
        <f t="shared" si="34"/>
        <v>2.0195952773077241E-2</v>
      </c>
      <c r="AG105" s="28">
        <f t="shared" si="35"/>
        <v>0.7142857142857143</v>
      </c>
      <c r="AH105" s="29">
        <f t="shared" si="45"/>
        <v>32.237959874964282</v>
      </c>
      <c r="AJ105" s="26">
        <f t="shared" si="36"/>
        <v>45.150338465785921</v>
      </c>
      <c r="AK105" s="27">
        <f t="shared" si="37"/>
        <v>2.3561944901923448</v>
      </c>
      <c r="AL105" s="29">
        <f t="shared" si="38"/>
        <v>60</v>
      </c>
      <c r="AM105" s="29">
        <f t="shared" si="39"/>
        <v>1.0000000000000001E-9</v>
      </c>
      <c r="AO105" s="26">
        <f t="shared" si="40"/>
        <v>2257.5169232892954</v>
      </c>
      <c r="AP105" s="27">
        <f t="shared" si="41"/>
        <v>1.4137166941154069E-2</v>
      </c>
      <c r="AQ105" s="29">
        <f t="shared" si="42"/>
        <v>0.5</v>
      </c>
      <c r="AR105" s="29">
        <f t="shared" si="43"/>
        <v>2257.5028414932708</v>
      </c>
    </row>
    <row r="106" spans="1:45" ht="15.6" x14ac:dyDescent="0.35">
      <c r="B106" s="2" t="s">
        <v>156</v>
      </c>
      <c r="C106" s="46">
        <f>SQRT(C104^(2)+C105^(2))</f>
        <v>4.8210878931896683</v>
      </c>
      <c r="D106" s="4" t="s">
        <v>21</v>
      </c>
      <c r="G106" s="13"/>
      <c r="X106" s="22">
        <v>80000</v>
      </c>
      <c r="Y106" s="4" cm="1">
        <f t="array" ref="Y106">_xlfn.IFS(AND($C$69="Yes", $C$80="Yes"),1/((1/AH106)+(1/AM106)+(1/AR106)), AND($C$69="Yes", $C$80="No"), 1/((1/AH106)+(1/AM106)), AND($C$69="No", $C$80="Yes"), 1/((1/AH106)+(1/AR106)), AND($C$69="No", $C$80="No"), 1/(1/AH106))</f>
        <v>29.796025461606355</v>
      </c>
      <c r="Z106" s="25">
        <f t="shared" si="30"/>
        <v>9.5231759468817092</v>
      </c>
      <c r="AA106" s="25">
        <f t="shared" si="44"/>
        <v>3.2727272727272729</v>
      </c>
      <c r="AB106" s="25">
        <f t="shared" si="31"/>
        <v>87.272727272727309</v>
      </c>
      <c r="AC106" s="25">
        <f t="shared" si="32"/>
        <v>4</v>
      </c>
      <c r="AE106" s="26">
        <f t="shared" si="33"/>
        <v>30.234601651195927</v>
      </c>
      <c r="AF106" s="27">
        <f t="shared" si="34"/>
        <v>2.1542349624615726E-2</v>
      </c>
      <c r="AG106" s="28">
        <f t="shared" si="35"/>
        <v>0.7142857142857143</v>
      </c>
      <c r="AH106" s="29">
        <f t="shared" si="45"/>
        <v>30.22150155835903</v>
      </c>
      <c r="AJ106" s="26">
        <f t="shared" si="36"/>
        <v>42.328442311674287</v>
      </c>
      <c r="AK106" s="27">
        <f t="shared" si="37"/>
        <v>2.5132741228718345</v>
      </c>
      <c r="AL106" s="29">
        <f t="shared" si="38"/>
        <v>60</v>
      </c>
      <c r="AM106" s="29">
        <f t="shared" si="39"/>
        <v>1.0000000000000001E-9</v>
      </c>
      <c r="AO106" s="26">
        <f t="shared" si="40"/>
        <v>2116.4221155837145</v>
      </c>
      <c r="AP106" s="27">
        <f t="shared" si="41"/>
        <v>1.5079644737231007E-2</v>
      </c>
      <c r="AQ106" s="29">
        <f t="shared" si="42"/>
        <v>0.5</v>
      </c>
      <c r="AR106" s="29">
        <f t="shared" si="43"/>
        <v>2116.4070950013388</v>
      </c>
    </row>
    <row r="107" spans="1:45" ht="19.2" x14ac:dyDescent="0.45">
      <c r="A107" t="str">
        <f>IF(C107&lt;=C28,"GOOD","BAD")</f>
        <v>GOOD</v>
      </c>
      <c r="B107" s="2" t="s">
        <v>297</v>
      </c>
      <c r="C107" s="47">
        <f>1000*((C40*0.01*(1-C40*0.01)*(C37/C41))/(C103*0.000001*C39*1000))</f>
        <v>57.245695786747611</v>
      </c>
      <c r="D107" s="42" t="s">
        <v>20</v>
      </c>
      <c r="G107" s="13"/>
      <c r="X107" s="22">
        <v>85000</v>
      </c>
      <c r="Y107" s="4" cm="1">
        <f t="array" ref="Y107">_xlfn.IFS(AND($C$69="Yes", $C$80="Yes"),1/((1/AH107)+(1/AM107)+(1/AR107)), AND($C$69="Yes", $C$80="No"), 1/((1/AH107)+(1/AM107)), AND($C$69="No", $C$80="Yes"), 1/((1/AH107)+(1/AR107)), AND($C$69="No", $C$80="No"), 1/(1/AH107))</f>
        <v>28.041773450431197</v>
      </c>
      <c r="Z107" s="25">
        <f t="shared" si="30"/>
        <v>9.5231759468817092</v>
      </c>
      <c r="AA107" s="25">
        <f t="shared" si="44"/>
        <v>3.2727272727272729</v>
      </c>
      <c r="AB107" s="25">
        <f t="shared" si="31"/>
        <v>87.272727272727309</v>
      </c>
      <c r="AC107" s="25">
        <f t="shared" si="32"/>
        <v>4</v>
      </c>
      <c r="AE107" s="26">
        <f t="shared" si="33"/>
        <v>28.456095671713811</v>
      </c>
      <c r="AF107" s="27">
        <f t="shared" si="34"/>
        <v>2.2888746476154208E-2</v>
      </c>
      <c r="AG107" s="28">
        <f t="shared" si="35"/>
        <v>0.7142857142857143</v>
      </c>
      <c r="AH107" s="29">
        <f t="shared" si="45"/>
        <v>28.44217748582227</v>
      </c>
      <c r="AJ107" s="26">
        <f t="shared" si="36"/>
        <v>39.838533940399337</v>
      </c>
      <c r="AK107" s="27">
        <f t="shared" si="37"/>
        <v>2.6703537555513241</v>
      </c>
      <c r="AL107" s="29">
        <f t="shared" si="38"/>
        <v>60</v>
      </c>
      <c r="AM107" s="29">
        <f t="shared" si="39"/>
        <v>1.0000000000000001E-9</v>
      </c>
      <c r="AO107" s="26">
        <f t="shared" si="40"/>
        <v>1991.9266970199667</v>
      </c>
      <c r="AP107" s="27">
        <f t="shared" si="41"/>
        <v>1.6022122533307943E-2</v>
      </c>
      <c r="AQ107" s="29">
        <f t="shared" si="42"/>
        <v>0.5</v>
      </c>
      <c r="AR107" s="29">
        <f t="shared" si="43"/>
        <v>1991.9107376512504</v>
      </c>
    </row>
    <row r="108" spans="1:45" ht="15.6" x14ac:dyDescent="0.35">
      <c r="A108" t="str">
        <f>IF(C108&lt;=C28,"GOOD","BAD")</f>
        <v>GOOD</v>
      </c>
      <c r="B108" s="2" t="s">
        <v>296</v>
      </c>
      <c r="C108" s="47">
        <f>(1-C40*0.01)*(C37/C41)*C105</f>
        <v>15.913353240936619</v>
      </c>
      <c r="D108" s="4" t="s">
        <v>20</v>
      </c>
      <c r="G108" s="13"/>
      <c r="X108" s="22">
        <v>90000</v>
      </c>
      <c r="Y108" s="4" cm="1">
        <f t="array" ref="Y108">_xlfn.IFS(AND($C$69="Yes", $C$80="Yes"),1/((1/AH108)+(1/AM108)+(1/AR108)), AND($C$69="Yes", $C$80="No"), 1/((1/AH108)+(1/AM108)), AND($C$69="No", $C$80="Yes"), 1/((1/AH108)+(1/AR108)), AND($C$69="No", $C$80="No"), 1/(1/AH108))</f>
        <v>26.482350065654391</v>
      </c>
      <c r="Z108" s="25">
        <f t="shared" si="30"/>
        <v>9.5231759468817092</v>
      </c>
      <c r="AA108" s="25">
        <f t="shared" si="44"/>
        <v>3.2727272727272729</v>
      </c>
      <c r="AB108" s="25">
        <f t="shared" si="31"/>
        <v>87.272727272727309</v>
      </c>
      <c r="AC108" s="25">
        <f t="shared" si="32"/>
        <v>4</v>
      </c>
      <c r="AE108" s="26">
        <f t="shared" si="33"/>
        <v>26.875201467729713</v>
      </c>
      <c r="AF108" s="27">
        <f t="shared" si="34"/>
        <v>2.4235143327692693E-2</v>
      </c>
      <c r="AG108" s="28">
        <f t="shared" si="35"/>
        <v>0.7142857142857143</v>
      </c>
      <c r="AH108" s="29">
        <f t="shared" si="45"/>
        <v>26.860465309368784</v>
      </c>
      <c r="AJ108" s="26">
        <f t="shared" si="36"/>
        <v>37.625282054821589</v>
      </c>
      <c r="AK108" s="27">
        <f t="shared" si="37"/>
        <v>2.8274333882308142</v>
      </c>
      <c r="AL108" s="29">
        <f t="shared" si="38"/>
        <v>60</v>
      </c>
      <c r="AM108" s="29">
        <f t="shared" si="39"/>
        <v>1.0000000000000001E-9</v>
      </c>
      <c r="AO108" s="26">
        <f t="shared" si="40"/>
        <v>1881.2641027410793</v>
      </c>
      <c r="AP108" s="27">
        <f t="shared" si="41"/>
        <v>1.6964600329384884E-2</v>
      </c>
      <c r="AQ108" s="29">
        <f t="shared" si="42"/>
        <v>0.5</v>
      </c>
      <c r="AR108" s="29">
        <f t="shared" si="43"/>
        <v>1881.2472045860325</v>
      </c>
    </row>
    <row r="109" spans="1:45" ht="15.6" x14ac:dyDescent="0.35">
      <c r="A109" t="str">
        <f>IF(C109&lt;=C28,"GOOD","BAD")</f>
        <v>GOOD</v>
      </c>
      <c r="B109" s="2" t="s">
        <v>295</v>
      </c>
      <c r="C109" s="47">
        <f>(C107+C108)</f>
        <v>73.159049027684233</v>
      </c>
      <c r="D109" s="4" t="s">
        <v>20</v>
      </c>
      <c r="X109" s="22">
        <v>95000</v>
      </c>
      <c r="Y109" s="4" cm="1">
        <f t="array" ref="Y109">_xlfn.IFS(AND($C$69="Yes", $C$80="Yes"),1/((1/AH109)+(1/AM109)+(1/AR109)), AND($C$69="Yes", $C$80="No"), 1/((1/AH109)+(1/AM109)), AND($C$69="No", $C$80="Yes"), 1/((1/AH109)+(1/AR109)), AND($C$69="No", $C$80="No"), 1/(1/AH109))</f>
        <v>25.086992917603791</v>
      </c>
      <c r="Z109" s="25">
        <f t="shared" si="30"/>
        <v>9.5231759468817092</v>
      </c>
      <c r="AA109" s="25">
        <f t="shared" si="44"/>
        <v>3.2727272727272729</v>
      </c>
      <c r="AB109" s="25">
        <f t="shared" si="31"/>
        <v>87.272727272727309</v>
      </c>
      <c r="AC109" s="25">
        <f t="shared" si="32"/>
        <v>4</v>
      </c>
      <c r="AE109" s="26">
        <f t="shared" si="33"/>
        <v>25.460717179954464</v>
      </c>
      <c r="AF109" s="27">
        <f t="shared" si="34"/>
        <v>2.5581540179231175E-2</v>
      </c>
      <c r="AG109" s="28">
        <f t="shared" si="35"/>
        <v>0.7142857142857143</v>
      </c>
      <c r="AH109" s="29">
        <f t="shared" si="45"/>
        <v>25.445163176827869</v>
      </c>
      <c r="AJ109" s="26">
        <f t="shared" si="36"/>
        <v>35.645004051936247</v>
      </c>
      <c r="AK109" s="27">
        <f t="shared" si="37"/>
        <v>2.9845130209103039</v>
      </c>
      <c r="AL109" s="29">
        <f t="shared" si="38"/>
        <v>60</v>
      </c>
      <c r="AM109" s="29">
        <f t="shared" si="39"/>
        <v>1.0000000000000001E-9</v>
      </c>
      <c r="AO109" s="26">
        <f t="shared" si="40"/>
        <v>1782.2502025968126</v>
      </c>
      <c r="AP109" s="27">
        <f t="shared" si="41"/>
        <v>1.7907078125461821E-2</v>
      </c>
      <c r="AQ109" s="29">
        <f t="shared" si="42"/>
        <v>0.5</v>
      </c>
      <c r="AR109" s="29">
        <f t="shared" si="43"/>
        <v>1782.2323656554463</v>
      </c>
    </row>
    <row r="110" spans="1:45" ht="19.2" x14ac:dyDescent="0.45">
      <c r="B110" s="2" t="s">
        <v>294</v>
      </c>
      <c r="C110" s="47">
        <f>C109/(2*SQRT(3))</f>
        <v>21.119198324895262</v>
      </c>
      <c r="D110" s="42" t="s">
        <v>20</v>
      </c>
      <c r="X110" s="22">
        <v>100000</v>
      </c>
      <c r="Y110" s="4" cm="1">
        <f t="array" ref="Y110">_xlfn.IFS(AND($C$69="Yes", $C$80="Yes"),1/((1/AH110)+(1/AM110)+(1/AR110)), AND($C$69="Yes", $C$80="No"), 1/((1/AH110)+(1/AM110)), AND($C$69="No", $C$80="Yes"), 1/((1/AH110)+(1/AR110)), AND($C$69="No", $C$80="No"), 1/(1/AH110))</f>
        <v>23.831092095908005</v>
      </c>
      <c r="Z110" s="25">
        <f t="shared" si="30"/>
        <v>9.5231759468817092</v>
      </c>
      <c r="AA110" s="25">
        <f t="shared" si="44"/>
        <v>3.2727272727272729</v>
      </c>
      <c r="AB110" s="25">
        <f t="shared" si="31"/>
        <v>87.272727272727309</v>
      </c>
      <c r="AC110" s="25">
        <f t="shared" si="32"/>
        <v>4</v>
      </c>
      <c r="AE110" s="26">
        <f t="shared" si="33"/>
        <v>24.187681320956738</v>
      </c>
      <c r="AF110" s="27">
        <f t="shared" si="34"/>
        <v>2.6927937030769653E-2</v>
      </c>
      <c r="AG110" s="28">
        <f t="shared" si="35"/>
        <v>0.7142857142857143</v>
      </c>
      <c r="AH110" s="29">
        <f t="shared" si="45"/>
        <v>24.171309607890979</v>
      </c>
      <c r="AJ110" s="26">
        <f t="shared" si="36"/>
        <v>33.862753849339441</v>
      </c>
      <c r="AK110" s="27">
        <f t="shared" si="37"/>
        <v>3.1415926535897927</v>
      </c>
      <c r="AL110" s="29">
        <f t="shared" si="38"/>
        <v>60</v>
      </c>
      <c r="AM110" s="29">
        <f t="shared" si="39"/>
        <v>1.0000000000000001E-9</v>
      </c>
      <c r="AO110" s="26">
        <f t="shared" si="40"/>
        <v>1693.1376924669717</v>
      </c>
      <c r="AP110" s="27">
        <f t="shared" si="41"/>
        <v>1.8849555921538759E-2</v>
      </c>
      <c r="AQ110" s="29">
        <f t="shared" si="42"/>
        <v>0.5</v>
      </c>
      <c r="AR110" s="29">
        <f t="shared" si="43"/>
        <v>1693.1189167392977</v>
      </c>
    </row>
    <row r="111" spans="1:45" ht="15.6" x14ac:dyDescent="0.35">
      <c r="B111" s="2" t="s">
        <v>157</v>
      </c>
      <c r="C111" s="48">
        <f>(C110)/(C62*SQRT(POWER(C91, 2)+POWER(C65, 2)))</f>
        <v>0.30849049991516075</v>
      </c>
      <c r="D111" s="4" t="s">
        <v>3</v>
      </c>
      <c r="X111" s="44">
        <v>150000</v>
      </c>
      <c r="Y111" s="4" cm="1">
        <f t="array" ref="Y111">_xlfn.IFS(AND($C$69="Yes", $C$80="Yes"),1/((1/AH111)+(1/AM111)+(1/AR111)), AND($C$69="Yes", $C$80="No"), 1/((1/AH111)+(1/AM111)), AND($C$69="No", $C$80="Yes"), 1/((1/AH111)+(1/AR111)), AND($C$69="No", $C$80="No"), 1/(1/AH111))</f>
        <v>15.8741469887136</v>
      </c>
      <c r="Z111" s="25">
        <f t="shared" si="30"/>
        <v>9.5231759468817092</v>
      </c>
      <c r="AA111" s="25">
        <f t="shared" si="44"/>
        <v>3.2727272727272729</v>
      </c>
      <c r="AB111" s="25">
        <f t="shared" si="31"/>
        <v>87.272727272727309</v>
      </c>
      <c r="AC111" s="25">
        <f t="shared" si="32"/>
        <v>4</v>
      </c>
      <c r="AE111" s="26">
        <f t="shared" si="33"/>
        <v>16.125120880637827</v>
      </c>
      <c r="AF111" s="27">
        <f t="shared" si="34"/>
        <v>4.0391905546154482E-2</v>
      </c>
      <c r="AG111" s="28">
        <f t="shared" si="35"/>
        <v>0.7142857142857143</v>
      </c>
      <c r="AH111" s="29">
        <f t="shared" si="45"/>
        <v>16.100581054228638</v>
      </c>
      <c r="AJ111" s="26">
        <f t="shared" si="36"/>
        <v>22.575169232892961</v>
      </c>
      <c r="AK111" s="27">
        <f t="shared" si="37"/>
        <v>4.7123889803846897</v>
      </c>
      <c r="AL111" s="29">
        <f t="shared" si="38"/>
        <v>60</v>
      </c>
      <c r="AM111" s="29">
        <f t="shared" si="39"/>
        <v>1.0000000000000001E-9</v>
      </c>
      <c r="AO111" s="26">
        <f t="shared" si="40"/>
        <v>1128.7584616446477</v>
      </c>
      <c r="AP111" s="27">
        <f t="shared" si="41"/>
        <v>2.8274333882308138E-2</v>
      </c>
      <c r="AQ111" s="29">
        <f t="shared" si="42"/>
        <v>0.5</v>
      </c>
      <c r="AR111" s="29">
        <f t="shared" si="43"/>
        <v>1128.7302980546749</v>
      </c>
    </row>
    <row r="112" spans="1:45" ht="15.6" x14ac:dyDescent="0.35">
      <c r="B112" s="2" t="s">
        <v>159</v>
      </c>
      <c r="C112" s="47" t="str">
        <f>IF(C69="Yes", (C110)/(C73*SQRT(POWER(C76, 2)+POWER(C95, 2))), "")</f>
        <v/>
      </c>
      <c r="D112" s="4" t="s">
        <v>3</v>
      </c>
      <c r="X112" s="22">
        <v>200000</v>
      </c>
      <c r="Y112" s="4" cm="1">
        <f t="array" ref="Y112">_xlfn.IFS(AND($C$69="Yes", $C$80="Yes"),1/((1/AH112)+(1/AM112)+(1/AR112)), AND($C$69="Yes", $C$80="No"), 1/((1/AH112)+(1/AM112)), AND($C$69="No", $C$80="Yes"), 1/((1/AH112)+(1/AR112)), AND($C$69="No", $C$80="No"), 1/(1/AH112))</f>
        <v>11.891723941139331</v>
      </c>
      <c r="Z112" s="25">
        <f t="shared" si="30"/>
        <v>9.5231759468817092</v>
      </c>
      <c r="AA112" s="25">
        <f t="shared" si="44"/>
        <v>3.2727272727272729</v>
      </c>
      <c r="AB112" s="25">
        <f t="shared" si="31"/>
        <v>87.272727272727309</v>
      </c>
      <c r="AC112" s="25">
        <f t="shared" si="32"/>
        <v>4</v>
      </c>
      <c r="AE112" s="26">
        <f t="shared" si="33"/>
        <v>12.093840660478369</v>
      </c>
      <c r="AF112" s="27">
        <f t="shared" si="34"/>
        <v>5.3855874061539306E-2</v>
      </c>
      <c r="AG112" s="28">
        <f t="shared" si="35"/>
        <v>0.7142857142857143</v>
      </c>
      <c r="AH112" s="29">
        <f t="shared" si="45"/>
        <v>12.06115407988727</v>
      </c>
      <c r="AJ112" s="26">
        <f t="shared" si="36"/>
        <v>16.931376924669721</v>
      </c>
      <c r="AK112" s="27">
        <f t="shared" si="37"/>
        <v>6.2831853071795853</v>
      </c>
      <c r="AL112" s="29">
        <f t="shared" si="38"/>
        <v>60</v>
      </c>
      <c r="AM112" s="29">
        <f t="shared" si="39"/>
        <v>1.0000000000000001E-9</v>
      </c>
      <c r="AO112" s="26">
        <f t="shared" si="40"/>
        <v>846.56884623348583</v>
      </c>
      <c r="AP112" s="27">
        <f t="shared" si="41"/>
        <v>3.7699111843077518E-2</v>
      </c>
      <c r="AQ112" s="29">
        <f t="shared" si="42"/>
        <v>0.5</v>
      </c>
      <c r="AR112" s="29">
        <f t="shared" si="43"/>
        <v>846.53129478306028</v>
      </c>
    </row>
    <row r="113" spans="1:45" ht="15.6" x14ac:dyDescent="0.35">
      <c r="B113" s="2" t="s">
        <v>158</v>
      </c>
      <c r="C113" s="47">
        <f>IF(C80="Yes", (C110)/(C84*SQRT(POWER(C97, 2)+POWER(C87, 2))), "")</f>
        <v>3.1183487611349601E-3</v>
      </c>
      <c r="D113" s="4" t="s">
        <v>3</v>
      </c>
      <c r="X113" s="44">
        <v>250000</v>
      </c>
      <c r="Y113" s="4" cm="1">
        <f t="array" ref="Y113">_xlfn.IFS(AND($C$69="Yes", $C$80="Yes"),1/((1/AH113)+(1/AM113)+(1/AR113)), AND($C$69="Yes", $C$80="No"), 1/((1/AH113)+(1/AM113)), AND($C$69="No", $C$80="Yes"), 1/((1/AH113)+(1/AR113)), AND($C$69="No", $C$80="No"), 1/(1/AH113))</f>
        <v>9.4991289015974711</v>
      </c>
      <c r="Z113" s="25">
        <f t="shared" si="30"/>
        <v>9.5231759468817092</v>
      </c>
      <c r="AA113" s="25">
        <f t="shared" si="44"/>
        <v>3.2727272727272729</v>
      </c>
      <c r="AB113" s="25">
        <f t="shared" si="31"/>
        <v>87.272727272727309</v>
      </c>
      <c r="AC113" s="25">
        <f t="shared" si="32"/>
        <v>4</v>
      </c>
      <c r="AE113" s="26">
        <f t="shared" si="33"/>
        <v>9.6750725283826959</v>
      </c>
      <c r="AF113" s="27">
        <f t="shared" si="34"/>
        <v>6.7319842576924138E-2</v>
      </c>
      <c r="AG113" s="28">
        <f t="shared" si="35"/>
        <v>0.7142857142857143</v>
      </c>
      <c r="AH113" s="29">
        <f t="shared" si="45"/>
        <v>9.6342677850078804</v>
      </c>
      <c r="AJ113" s="26">
        <f t="shared" si="36"/>
        <v>13.545101539735775</v>
      </c>
      <c r="AK113" s="27">
        <f t="shared" si="37"/>
        <v>7.8539816339744837</v>
      </c>
      <c r="AL113" s="29">
        <f t="shared" si="38"/>
        <v>60</v>
      </c>
      <c r="AM113" s="29">
        <f t="shared" si="39"/>
        <v>1.0000000000000001E-9</v>
      </c>
      <c r="AO113" s="26">
        <f t="shared" si="40"/>
        <v>677.25507698678871</v>
      </c>
      <c r="AP113" s="27">
        <f t="shared" si="41"/>
        <v>4.7123889803846894E-2</v>
      </c>
      <c r="AQ113" s="29">
        <f t="shared" si="42"/>
        <v>0.5</v>
      </c>
      <c r="AR113" s="29">
        <f t="shared" si="43"/>
        <v>677.20813767837137</v>
      </c>
    </row>
    <row r="114" spans="1:45" x14ac:dyDescent="0.3">
      <c r="C114" s="18"/>
      <c r="X114" s="22">
        <v>300000</v>
      </c>
      <c r="Y114" s="4" cm="1">
        <f t="array" ref="Y114">_xlfn.IFS(AND($C$69="Yes", $C$80="Yes"),1/((1/AH114)+(1/AM114)+(1/AR114)), AND($C$69="Yes", $C$80="No"), 1/((1/AH114)+(1/AM114)), AND($C$69="No", $C$80="Yes"), 1/((1/AH114)+(1/AR114)), AND($C$69="No", $C$80="No"), 1/(1/AH114))</f>
        <v>7.9014685655853345</v>
      </c>
      <c r="Z114" s="25">
        <f t="shared" si="30"/>
        <v>9.5231759468817092</v>
      </c>
      <c r="AA114" s="25">
        <f t="shared" si="44"/>
        <v>3.2727272727272729</v>
      </c>
      <c r="AB114" s="25">
        <f t="shared" si="31"/>
        <v>87.272727272727309</v>
      </c>
      <c r="AC114" s="25">
        <f t="shared" si="32"/>
        <v>4</v>
      </c>
      <c r="AE114" s="26">
        <f t="shared" si="33"/>
        <v>8.0625604403189133</v>
      </c>
      <c r="AF114" s="27">
        <f t="shared" si="34"/>
        <v>8.0783811092308963E-2</v>
      </c>
      <c r="AG114" s="28">
        <f t="shared" si="35"/>
        <v>0.7142857142857143</v>
      </c>
      <c r="AH114" s="29">
        <f t="shared" si="45"/>
        <v>8.0136734548208697</v>
      </c>
      <c r="AJ114" s="26">
        <f t="shared" si="36"/>
        <v>11.28758461644648</v>
      </c>
      <c r="AK114" s="27">
        <f t="shared" si="37"/>
        <v>9.4247779607693793</v>
      </c>
      <c r="AL114" s="29">
        <f t="shared" si="38"/>
        <v>60</v>
      </c>
      <c r="AM114" s="29">
        <f t="shared" si="39"/>
        <v>1.0000000000000001E-9</v>
      </c>
      <c r="AO114" s="26">
        <f t="shared" si="40"/>
        <v>564.37923082232385</v>
      </c>
      <c r="AP114" s="27">
        <f t="shared" si="41"/>
        <v>5.6548667764616277E-2</v>
      </c>
      <c r="AQ114" s="29">
        <f t="shared" si="42"/>
        <v>0.5</v>
      </c>
      <c r="AR114" s="29">
        <f t="shared" si="43"/>
        <v>564.32290365899178</v>
      </c>
    </row>
    <row r="115" spans="1:45" ht="15.6" x14ac:dyDescent="0.35">
      <c r="B115" s="2" t="s">
        <v>278</v>
      </c>
      <c r="C115" s="47">
        <f>1000/(2*PI()*$C$51*1000*C64*0.000001)</f>
        <v>8.7069402228976731</v>
      </c>
      <c r="D115" s="4" t="s">
        <v>21</v>
      </c>
      <c r="X115" s="44">
        <v>350000</v>
      </c>
      <c r="Y115" s="4" cm="1">
        <f t="array" ref="Y115">_xlfn.IFS(AND($C$69="Yes", $C$80="Yes"),1/((1/AH115)+(1/AM115)+(1/AR115)), AND($C$69="Yes", $C$80="No"), 1/((1/AH115)+(1/AM115)), AND($C$69="No", $C$80="Yes"), 1/((1/AH115)+(1/AR115)), AND($C$69="No", $C$80="No"), 1/(1/AH115))</f>
        <v>6.7580785076277001</v>
      </c>
      <c r="Z115" s="25">
        <f t="shared" si="30"/>
        <v>9.5231759468817092</v>
      </c>
      <c r="AA115" s="25">
        <f t="shared" si="44"/>
        <v>3.2727272727272729</v>
      </c>
      <c r="AB115" s="25">
        <f t="shared" si="31"/>
        <v>87.272727272727309</v>
      </c>
      <c r="AC115" s="25">
        <f t="shared" si="32"/>
        <v>4</v>
      </c>
      <c r="AE115" s="26">
        <f t="shared" si="33"/>
        <v>6.9107660917019249</v>
      </c>
      <c r="AF115" s="27">
        <f t="shared" si="34"/>
        <v>9.4247779607693788E-2</v>
      </c>
      <c r="AG115" s="28">
        <f t="shared" si="35"/>
        <v>0.7142857142857143</v>
      </c>
      <c r="AH115" s="29">
        <f t="shared" si="45"/>
        <v>6.853840236009928</v>
      </c>
      <c r="AJ115" s="26">
        <f t="shared" si="36"/>
        <v>9.6750725283826977</v>
      </c>
      <c r="AK115" s="27">
        <f t="shared" si="37"/>
        <v>10.995574287564276</v>
      </c>
      <c r="AL115" s="29">
        <f t="shared" si="38"/>
        <v>60</v>
      </c>
      <c r="AM115" s="29">
        <f t="shared" si="39"/>
        <v>1.0000000000000001E-9</v>
      </c>
      <c r="AO115" s="26">
        <f t="shared" si="40"/>
        <v>483.75362641913483</v>
      </c>
      <c r="AP115" s="27">
        <f t="shared" si="41"/>
        <v>6.5973445725385646E-2</v>
      </c>
      <c r="AQ115" s="29">
        <f t="shared" si="42"/>
        <v>0.5</v>
      </c>
      <c r="AR115" s="29">
        <f t="shared" si="43"/>
        <v>483.68791140458057</v>
      </c>
    </row>
    <row r="116" spans="1:45" ht="15.6" x14ac:dyDescent="0.35">
      <c r="B116" s="2" t="s">
        <v>143</v>
      </c>
      <c r="C116" s="47">
        <f>C64/(1+(C65/C115)^(2))</f>
        <v>65.360128624661371</v>
      </c>
      <c r="D116" s="10" t="s">
        <v>8</v>
      </c>
      <c r="X116" s="22">
        <v>400000</v>
      </c>
      <c r="Y116" s="4" cm="1">
        <f t="array" ref="Y116">_xlfn.IFS(AND($C$69="Yes", $C$80="Yes"),1/((1/AH116)+(1/AM116)+(1/AR116)), AND($C$69="Yes", $C$80="No"), 1/((1/AH116)+(1/AM116)), AND($C$69="No", $C$80="Yes"), 1/((1/AH116)+(1/AR116)), AND($C$69="No", $C$80="No"), 1/(1/AH116))</f>
        <v>5.8986302334470189</v>
      </c>
      <c r="Z116" s="25">
        <f t="shared" si="30"/>
        <v>9.5231759468817092</v>
      </c>
      <c r="AA116" s="25">
        <f t="shared" si="44"/>
        <v>3.2727272727272729</v>
      </c>
      <c r="AB116" s="25">
        <f t="shared" si="31"/>
        <v>87.272727272727309</v>
      </c>
      <c r="AC116" s="25">
        <f t="shared" si="32"/>
        <v>4</v>
      </c>
      <c r="AE116" s="26">
        <f t="shared" si="33"/>
        <v>6.0469203302391845</v>
      </c>
      <c r="AF116" s="27">
        <f t="shared" si="34"/>
        <v>0.10771174812307861</v>
      </c>
      <c r="AG116" s="28">
        <f t="shared" si="35"/>
        <v>0.7142857142857143</v>
      </c>
      <c r="AH116" s="29">
        <f t="shared" si="45"/>
        <v>5.982006575014295</v>
      </c>
      <c r="AJ116" s="26">
        <f t="shared" si="36"/>
        <v>8.4656884623348603</v>
      </c>
      <c r="AK116" s="27">
        <f t="shared" si="37"/>
        <v>12.566370614359171</v>
      </c>
      <c r="AL116" s="29">
        <f t="shared" si="38"/>
        <v>60</v>
      </c>
      <c r="AM116" s="29">
        <f t="shared" si="39"/>
        <v>1.0000000000000001E-9</v>
      </c>
      <c r="AN116" s="11"/>
      <c r="AO116" s="26">
        <f t="shared" si="40"/>
        <v>423.28442311674291</v>
      </c>
      <c r="AP116" s="27">
        <f t="shared" si="41"/>
        <v>7.5398223686155036E-2</v>
      </c>
      <c r="AQ116" s="29">
        <f t="shared" si="42"/>
        <v>0.5</v>
      </c>
      <c r="AR116" s="29">
        <f t="shared" si="43"/>
        <v>423.20932025527503</v>
      </c>
    </row>
    <row r="117" spans="1:45" ht="15.6" x14ac:dyDescent="0.35">
      <c r="B117" s="2" t="s">
        <v>144</v>
      </c>
      <c r="C117" s="47">
        <f>(C65^(2)+C115^(2))/C65</f>
        <v>106.84941697744443</v>
      </c>
      <c r="D117" s="4" t="s">
        <v>21</v>
      </c>
      <c r="X117" s="44">
        <v>450000</v>
      </c>
      <c r="Y117" s="4" cm="1">
        <f t="array" ref="Y117">_xlfn.IFS(AND($C$69="Yes", $C$80="Yes"),1/((1/AH117)+(1/AM117)+(1/AR117)), AND($C$69="Yes", $C$80="No"), 1/((1/AH117)+(1/AM117)), AND($C$69="No", $C$80="Yes"), 1/((1/AH117)+(1/AR117)), AND($C$69="No", $C$80="No"), 1/(1/AH117))</f>
        <v>5.2285002148636348</v>
      </c>
      <c r="Z117" s="25">
        <f t="shared" si="30"/>
        <v>9.5231759468817092</v>
      </c>
      <c r="AA117" s="25">
        <f t="shared" si="44"/>
        <v>3.2727272727272729</v>
      </c>
      <c r="AB117" s="25">
        <f t="shared" si="31"/>
        <v>87.272727272727309</v>
      </c>
      <c r="AC117" s="25">
        <f t="shared" si="32"/>
        <v>4</v>
      </c>
      <c r="AE117" s="26">
        <f t="shared" si="33"/>
        <v>5.3750402935459434</v>
      </c>
      <c r="AF117" s="27">
        <f t="shared" si="34"/>
        <v>0.12117571663846345</v>
      </c>
      <c r="AG117" s="28">
        <f t="shared" si="35"/>
        <v>0.7142857142857143</v>
      </c>
      <c r="AH117" s="29">
        <f t="shared" si="45"/>
        <v>5.3021973816631789</v>
      </c>
      <c r="AJ117" s="26">
        <f t="shared" si="36"/>
        <v>7.5250564109643188</v>
      </c>
      <c r="AK117" s="27">
        <f t="shared" si="37"/>
        <v>14.137166941154069</v>
      </c>
      <c r="AL117" s="29">
        <f t="shared" si="38"/>
        <v>60</v>
      </c>
      <c r="AM117" s="29">
        <f t="shared" si="39"/>
        <v>1.0000000000000001E-9</v>
      </c>
      <c r="AN117" s="11"/>
      <c r="AO117" s="26">
        <f t="shared" si="40"/>
        <v>376.25282054821594</v>
      </c>
      <c r="AP117" s="27">
        <f t="shared" si="41"/>
        <v>8.4823001646924412E-2</v>
      </c>
      <c r="AQ117" s="29">
        <f t="shared" si="42"/>
        <v>0.5</v>
      </c>
      <c r="AR117" s="29">
        <f t="shared" si="43"/>
        <v>376.16832984475923</v>
      </c>
    </row>
    <row r="118" spans="1:45" ht="15.6" x14ac:dyDescent="0.35">
      <c r="B118" s="2" t="s">
        <v>281</v>
      </c>
      <c r="C118" s="47" t="str">
        <f>IF(C69="Yes", 1000/(2*PI()*$C$51*1000*C75*0.000001), "")</f>
        <v/>
      </c>
      <c r="D118" s="4" t="s">
        <v>21</v>
      </c>
      <c r="X118" s="22">
        <v>500000</v>
      </c>
      <c r="Y118" s="4" cm="1">
        <f t="array" ref="Y118">_xlfn.IFS(AND($C$69="Yes", $C$80="Yes"),1/((1/AH118)+(1/AM118)+(1/AR118)), AND($C$69="Yes", $C$80="No"), 1/((1/AH118)+(1/AM118)), AND($C$69="No", $C$80="Yes"), 1/((1/AH118)+(1/AR118)), AND($C$69="No", $C$80="No"), 1/(1/AH118))</f>
        <v>4.6909175199908102</v>
      </c>
      <c r="Z118" s="25">
        <f t="shared" si="30"/>
        <v>9.5231759468817092</v>
      </c>
      <c r="AA118" s="25">
        <f t="shared" si="44"/>
        <v>3.2727272727272729</v>
      </c>
      <c r="AB118" s="25">
        <f t="shared" si="31"/>
        <v>87.272727272727309</v>
      </c>
      <c r="AC118" s="25">
        <f t="shared" si="32"/>
        <v>4</v>
      </c>
      <c r="AE118" s="26">
        <f t="shared" si="33"/>
        <v>4.837536264191348</v>
      </c>
      <c r="AF118" s="27">
        <f t="shared" si="34"/>
        <v>0.13463968515384828</v>
      </c>
      <c r="AG118" s="28">
        <f t="shared" si="35"/>
        <v>0.7142857142857143</v>
      </c>
      <c r="AH118" s="29">
        <f t="shared" si="45"/>
        <v>4.756830910885447</v>
      </c>
      <c r="AJ118" s="26">
        <f t="shared" si="36"/>
        <v>6.7725507698678875</v>
      </c>
      <c r="AK118" s="27">
        <f t="shared" si="37"/>
        <v>15.707963267948967</v>
      </c>
      <c r="AL118" s="29">
        <f t="shared" si="38"/>
        <v>60</v>
      </c>
      <c r="AM118" s="29">
        <f t="shared" si="39"/>
        <v>1.0000000000000001E-9</v>
      </c>
      <c r="AN118" s="11"/>
      <c r="AO118" s="26">
        <f t="shared" si="40"/>
        <v>338.62753849339435</v>
      </c>
      <c r="AP118" s="27">
        <f t="shared" si="41"/>
        <v>9.4247779607693788E-2</v>
      </c>
      <c r="AQ118" s="29">
        <f t="shared" si="42"/>
        <v>0.5</v>
      </c>
      <c r="AR118" s="29">
        <f t="shared" si="43"/>
        <v>338.53365995348997</v>
      </c>
    </row>
    <row r="119" spans="1:45" ht="15.6" x14ac:dyDescent="0.35">
      <c r="B119" s="2" t="s">
        <v>192</v>
      </c>
      <c r="C119" s="43" t="str">
        <f>IF(C69="Yes", C75/(1+(C76/C118)^(2)), "")</f>
        <v/>
      </c>
      <c r="D119" s="10" t="s">
        <v>8</v>
      </c>
      <c r="X119" s="44">
        <v>550000</v>
      </c>
      <c r="Y119" s="4" cm="1">
        <f t="array" ref="Y119">_xlfn.IFS(AND($C$69="Yes", $C$80="Yes"),1/((1/AH119)+(1/AM119)+(1/AR119)), AND($C$69="Yes", $C$80="No"), 1/((1/AH119)+(1/AM119)), AND($C$69="No", $C$80="Yes"), 1/((1/AH119)+(1/AR119)), AND($C$69="No", $C$80="No"), 1/(1/AH119))</f>
        <v>4.2497582058402177</v>
      </c>
      <c r="Z119" s="25">
        <f t="shared" si="30"/>
        <v>9.5231759468817092</v>
      </c>
      <c r="AA119" s="25">
        <f t="shared" si="44"/>
        <v>3.2727272727272729</v>
      </c>
      <c r="AB119" s="25">
        <f t="shared" si="31"/>
        <v>87.272727272727309</v>
      </c>
      <c r="AC119" s="25">
        <f t="shared" si="32"/>
        <v>4</v>
      </c>
      <c r="AE119" s="26">
        <f t="shared" si="33"/>
        <v>4.3977602401739526</v>
      </c>
      <c r="AF119" s="27">
        <f t="shared" si="34"/>
        <v>0.14810365366923309</v>
      </c>
      <c r="AG119" s="28">
        <f t="shared" si="35"/>
        <v>0.7142857142857143</v>
      </c>
      <c r="AH119" s="29">
        <f t="shared" si="45"/>
        <v>4.3092673605678726</v>
      </c>
      <c r="AJ119" s="26">
        <f t="shared" si="36"/>
        <v>6.1568643362435349</v>
      </c>
      <c r="AK119" s="27">
        <f t="shared" si="37"/>
        <v>17.278759594743864</v>
      </c>
      <c r="AL119" s="29">
        <f t="shared" si="38"/>
        <v>60</v>
      </c>
      <c r="AM119" s="29">
        <f t="shared" si="39"/>
        <v>1.0000000000000001E-9</v>
      </c>
      <c r="AN119" s="11"/>
      <c r="AO119" s="26">
        <f t="shared" si="40"/>
        <v>307.84321681217665</v>
      </c>
      <c r="AP119" s="27">
        <f t="shared" si="41"/>
        <v>0.10367255756846316</v>
      </c>
      <c r="AQ119" s="29">
        <f t="shared" si="42"/>
        <v>0.5</v>
      </c>
      <c r="AR119" s="29">
        <f t="shared" si="43"/>
        <v>307.73995044198267</v>
      </c>
      <c r="AS119" s="11"/>
    </row>
    <row r="120" spans="1:45" ht="15.6" x14ac:dyDescent="0.35">
      <c r="B120" s="2" t="s">
        <v>191</v>
      </c>
      <c r="C120" s="43" t="str">
        <f>IF(C69="Yes", (C76^(2)+C118^(2))/C76, "")</f>
        <v/>
      </c>
      <c r="D120" s="4" t="s">
        <v>21</v>
      </c>
      <c r="X120" s="22">
        <v>600000</v>
      </c>
      <c r="Y120" s="4" cm="1">
        <f t="array" ref="Y120">_xlfn.IFS(AND($C$69="Yes", $C$80="Yes"),1/((1/AH120)+(1/AM120)+(1/AR120)), AND($C$69="Yes", $C$80="No"), 1/((1/AH120)+(1/AM120)), AND($C$69="No", $C$80="Yes"), 1/((1/AH120)+(1/AR120)), AND($C$69="No", $C$80="No"), 1/(1/AH120))</f>
        <v>3.8809425290837543</v>
      </c>
      <c r="Z120" s="25">
        <f t="shared" si="30"/>
        <v>9.5231759468817092</v>
      </c>
      <c r="AA120" s="25">
        <f t="shared" si="44"/>
        <v>3.2727272727272729</v>
      </c>
      <c r="AB120" s="25">
        <f t="shared" si="31"/>
        <v>87.272727272727309</v>
      </c>
      <c r="AC120" s="25">
        <f t="shared" si="32"/>
        <v>4</v>
      </c>
      <c r="AE120" s="26">
        <f t="shared" si="33"/>
        <v>4.0312802201594566</v>
      </c>
      <c r="AF120" s="27">
        <f t="shared" si="34"/>
        <v>0.16156762218461793</v>
      </c>
      <c r="AG120" s="28">
        <f t="shared" si="35"/>
        <v>0.7142857142857143</v>
      </c>
      <c r="AH120" s="29">
        <f t="shared" si="45"/>
        <v>3.9350831849603676</v>
      </c>
      <c r="AJ120" s="26">
        <f t="shared" si="36"/>
        <v>5.6437923082232402</v>
      </c>
      <c r="AK120" s="27">
        <f t="shared" si="37"/>
        <v>18.849555921538759</v>
      </c>
      <c r="AL120" s="29">
        <f t="shared" si="38"/>
        <v>60</v>
      </c>
      <c r="AM120" s="29">
        <f t="shared" si="39"/>
        <v>1.0000000000000001E-9</v>
      </c>
      <c r="AN120" s="11"/>
      <c r="AO120" s="26">
        <f t="shared" si="40"/>
        <v>282.18961541116192</v>
      </c>
      <c r="AP120" s="27">
        <f t="shared" si="41"/>
        <v>0.11309733552923255</v>
      </c>
      <c r="AQ120" s="29">
        <f t="shared" si="42"/>
        <v>0.5</v>
      </c>
      <c r="AR120" s="29">
        <f t="shared" si="43"/>
        <v>282.07696121745346</v>
      </c>
      <c r="AS120" s="11"/>
    </row>
    <row r="121" spans="1:45" ht="15.6" x14ac:dyDescent="0.35">
      <c r="B121" s="2" t="s">
        <v>285</v>
      </c>
      <c r="C121" s="43">
        <f>IF(C80="Yes", 1000/(2*PI()*$C$51*1000*C86*0.000001), "")</f>
        <v>609.48581560283696</v>
      </c>
      <c r="D121" s="4" t="s">
        <v>21</v>
      </c>
      <c r="X121" s="44">
        <v>650000</v>
      </c>
      <c r="Y121" s="4" cm="1">
        <f t="array" ref="Y121">_xlfn.IFS(AND($C$69="Yes", $C$80="Yes"),1/((1/AH121)+(1/AM121)+(1/AR121)), AND($C$69="Yes", $C$80="No"), 1/((1/AH121)+(1/AM121)), AND($C$69="No", $C$80="Yes"), 1/((1/AH121)+(1/AR121)), AND($C$69="No", $C$80="No"), 1/(1/AH121))</f>
        <v>3.5678026887489183</v>
      </c>
      <c r="Z121" s="25">
        <f t="shared" si="30"/>
        <v>9.5231759468817092</v>
      </c>
      <c r="AA121" s="25">
        <f t="shared" si="44"/>
        <v>3.2727272727272729</v>
      </c>
      <c r="AB121" s="25">
        <f t="shared" si="31"/>
        <v>87.272727272727309</v>
      </c>
      <c r="AC121" s="25">
        <f t="shared" si="32"/>
        <v>4</v>
      </c>
      <c r="AE121" s="26">
        <f t="shared" si="33"/>
        <v>3.7211817416856521</v>
      </c>
      <c r="AF121" s="27">
        <f t="shared" si="34"/>
        <v>0.17503159070000276</v>
      </c>
      <c r="AG121" s="28">
        <f t="shared" si="35"/>
        <v>0.7142857142857143</v>
      </c>
      <c r="AH121" s="29">
        <f t="shared" si="45"/>
        <v>3.6173726618871043</v>
      </c>
      <c r="AJ121" s="26">
        <f t="shared" si="36"/>
        <v>5.2096544383599133</v>
      </c>
      <c r="AK121" s="27">
        <f t="shared" si="37"/>
        <v>20.420352248333653</v>
      </c>
      <c r="AL121" s="29">
        <f t="shared" si="38"/>
        <v>60</v>
      </c>
      <c r="AM121" s="29">
        <f t="shared" si="39"/>
        <v>1.0000000000000001E-9</v>
      </c>
      <c r="AN121" s="11"/>
      <c r="AO121" s="26">
        <f t="shared" si="40"/>
        <v>260.48272191799566</v>
      </c>
      <c r="AP121" s="27">
        <f t="shared" si="41"/>
        <v>0.12252211349000192</v>
      </c>
      <c r="AQ121" s="29">
        <f t="shared" si="42"/>
        <v>0.5</v>
      </c>
      <c r="AR121" s="29">
        <f t="shared" si="43"/>
        <v>260.36067990816531</v>
      </c>
      <c r="AS121" s="11"/>
    </row>
    <row r="122" spans="1:45" ht="15.6" x14ac:dyDescent="0.35">
      <c r="B122" s="2" t="s">
        <v>286</v>
      </c>
      <c r="C122" s="43">
        <f>IF(C80="Yes", C86/(1+(C87/C121)^(2)), "")</f>
        <v>0.93999936738371959</v>
      </c>
      <c r="D122" s="10" t="s">
        <v>8</v>
      </c>
      <c r="X122" s="22">
        <v>700000</v>
      </c>
      <c r="Y122" s="4" cm="1">
        <f t="array" ref="Y122">_xlfn.IFS(AND($C$69="Yes", $C$80="Yes"),1/((1/AH122)+(1/AM122)+(1/AR122)), AND($C$69="Yes", $C$80="No"), 1/((1/AH122)+(1/AM122)), AND($C$69="No", $C$80="Yes"), 1/((1/AH122)+(1/AR122)), AND($C$69="No", $C$80="No"), 1/(1/AH122))</f>
        <v>3.2984358353395637</v>
      </c>
      <c r="Z122" s="25">
        <f t="shared" si="30"/>
        <v>9.5231759468817092</v>
      </c>
      <c r="AA122" s="25">
        <f t="shared" si="44"/>
        <v>3.2727272727272729</v>
      </c>
      <c r="AB122" s="25">
        <f t="shared" si="31"/>
        <v>87.272727272727309</v>
      </c>
      <c r="AC122" s="25">
        <f t="shared" si="32"/>
        <v>4</v>
      </c>
      <c r="AE122" s="26">
        <f t="shared" si="33"/>
        <v>3.4553830458509625</v>
      </c>
      <c r="AF122" s="27">
        <f t="shared" si="34"/>
        <v>0.18849555921538758</v>
      </c>
      <c r="AG122" s="28">
        <f t="shared" si="35"/>
        <v>0.7142857142857143</v>
      </c>
      <c r="AH122" s="29">
        <f t="shared" si="45"/>
        <v>3.3440630873188915</v>
      </c>
      <c r="AJ122" s="26">
        <f t="shared" si="36"/>
        <v>4.8375362641913489</v>
      </c>
      <c r="AK122" s="27">
        <f t="shared" si="37"/>
        <v>21.991148575128552</v>
      </c>
      <c r="AL122" s="29">
        <f t="shared" si="38"/>
        <v>60</v>
      </c>
      <c r="AM122" s="29">
        <f t="shared" si="39"/>
        <v>1.0000000000000001E-9</v>
      </c>
      <c r="AN122" s="11"/>
      <c r="AO122" s="26">
        <f t="shared" si="40"/>
        <v>241.87681320956742</v>
      </c>
      <c r="AP122" s="27">
        <f t="shared" si="41"/>
        <v>0.13194689145077129</v>
      </c>
      <c r="AQ122" s="29">
        <f t="shared" si="42"/>
        <v>0.5</v>
      </c>
      <c r="AR122" s="29">
        <f t="shared" si="43"/>
        <v>241.74538339162567</v>
      </c>
      <c r="AS122" s="11"/>
    </row>
    <row r="123" spans="1:45" ht="15.6" x14ac:dyDescent="0.35">
      <c r="B123" s="2" t="s">
        <v>150</v>
      </c>
      <c r="C123" s="43">
        <f>IF(C80="Yes", (C87^(2)+C121^(2))/C87, "")</f>
        <v>742946.41884211078</v>
      </c>
      <c r="D123" s="4" t="s">
        <v>21</v>
      </c>
      <c r="X123" s="44">
        <v>750000</v>
      </c>
      <c r="Y123" s="4" cm="1">
        <f t="array" ref="Y123">_xlfn.IFS(AND($C$69="Yes", $C$80="Yes"),1/((1/AH123)+(1/AM123)+(1/AR123)), AND($C$69="Yes", $C$80="No"), 1/((1/AH123)+(1/AM123)), AND($C$69="No", $C$80="Yes"), 1/((1/AH123)+(1/AR123)), AND($C$69="No", $C$80="No"), 1/(1/AH123))</f>
        <v>3.0641158891468847</v>
      </c>
      <c r="Z123" s="25">
        <f t="shared" si="30"/>
        <v>9.5231759468817092</v>
      </c>
      <c r="AA123" s="25">
        <f t="shared" si="44"/>
        <v>3.2727272727272729</v>
      </c>
      <c r="AB123" s="25">
        <f t="shared" si="31"/>
        <v>87.272727272727309</v>
      </c>
      <c r="AC123" s="25">
        <f t="shared" si="32"/>
        <v>4</v>
      </c>
      <c r="AE123" s="26">
        <f t="shared" si="33"/>
        <v>3.2250241761275653</v>
      </c>
      <c r="AF123" s="27">
        <f t="shared" si="34"/>
        <v>0.20195952773077241</v>
      </c>
      <c r="AG123" s="28">
        <f t="shared" si="35"/>
        <v>0.7142857142857143</v>
      </c>
      <c r="AH123" s="29">
        <f t="shared" si="45"/>
        <v>3.1063039049679406</v>
      </c>
      <c r="AJ123" s="26">
        <f t="shared" si="36"/>
        <v>4.5150338465785911</v>
      </c>
      <c r="AK123" s="27">
        <f t="shared" si="37"/>
        <v>23.56194490192345</v>
      </c>
      <c r="AL123" s="29">
        <f t="shared" si="38"/>
        <v>60</v>
      </c>
      <c r="AM123" s="29">
        <f t="shared" si="39"/>
        <v>1.0000000000000001E-9</v>
      </c>
      <c r="AN123" s="11"/>
      <c r="AO123" s="26">
        <f t="shared" si="40"/>
        <v>225.75169232892961</v>
      </c>
      <c r="AP123" s="27">
        <f t="shared" si="41"/>
        <v>0.1413716694115407</v>
      </c>
      <c r="AQ123" s="29">
        <f t="shared" si="42"/>
        <v>0.5</v>
      </c>
      <c r="AR123" s="29">
        <f t="shared" si="43"/>
        <v>225.61087471150535</v>
      </c>
      <c r="AS123" s="11"/>
    </row>
    <row r="124" spans="1:45" ht="15.6" x14ac:dyDescent="0.35">
      <c r="A124" t="str">
        <f>IF(C124&gt;=C52,"GOOD","BAD")</f>
        <v>GOOD</v>
      </c>
      <c r="B124" s="2" t="s">
        <v>160</v>
      </c>
      <c r="C124" s="47" cm="1">
        <f t="array" ref="C124">_xlfn.IFS(AND($C$69="Yes", $C$80="Yes"), SUM(C116,C119,C122), AND($C$69="Yes", $C$80="No"), SUM(C116,C119), AND($C$69="No", $C$80="Yes"), SUM(C116,C122), AND($C$69="No", $C$80="No"), SUM(C116))</f>
        <v>66.300127992045091</v>
      </c>
      <c r="D124" s="10" t="s">
        <v>8</v>
      </c>
      <c r="X124" s="22">
        <v>800000</v>
      </c>
      <c r="Y124" s="4" cm="1">
        <f t="array" ref="Y124">_xlfn.IFS(AND($C$69="Yes", $C$80="Yes"),1/((1/AH124)+(1/AM124)+(1/AR124)), AND($C$69="Yes", $C$80="No"), 1/((1/AH124)+(1/AM124)), AND($C$69="No", $C$80="Yes"), 1/((1/AH124)+(1/AR124)), AND($C$69="No", $C$80="No"), 1/(1/AH124))</f>
        <v>2.8583009391196019</v>
      </c>
      <c r="Z124" s="25">
        <f t="shared" si="30"/>
        <v>9.5231759468817092</v>
      </c>
      <c r="AA124" s="25">
        <f t="shared" si="44"/>
        <v>3.2727272727272729</v>
      </c>
      <c r="AB124" s="25">
        <f t="shared" si="31"/>
        <v>87.272727272727309</v>
      </c>
      <c r="AC124" s="25">
        <f t="shared" si="32"/>
        <v>4</v>
      </c>
      <c r="AE124" s="26">
        <f t="shared" si="33"/>
        <v>3.0234601651195923</v>
      </c>
      <c r="AF124" s="27">
        <f t="shared" si="34"/>
        <v>0.21542349624615723</v>
      </c>
      <c r="AG124" s="28">
        <f t="shared" si="35"/>
        <v>0.7142857142857143</v>
      </c>
      <c r="AH124" s="29">
        <f t="shared" si="45"/>
        <v>2.897459924722078</v>
      </c>
      <c r="AJ124" s="26">
        <f t="shared" si="36"/>
        <v>4.2328442311674301</v>
      </c>
      <c r="AK124" s="27">
        <f t="shared" si="37"/>
        <v>25.132741228718341</v>
      </c>
      <c r="AL124" s="29">
        <f t="shared" si="38"/>
        <v>60</v>
      </c>
      <c r="AM124" s="29">
        <f t="shared" si="39"/>
        <v>1.0000000000000001E-9</v>
      </c>
      <c r="AN124" s="11"/>
      <c r="AO124" s="26">
        <f t="shared" si="40"/>
        <v>211.64221155837146</v>
      </c>
      <c r="AP124" s="27">
        <f t="shared" si="41"/>
        <v>0.15079644737231007</v>
      </c>
      <c r="AQ124" s="29">
        <f t="shared" si="42"/>
        <v>0.5</v>
      </c>
      <c r="AR124" s="29">
        <f t="shared" si="43"/>
        <v>211.49200615071237</v>
      </c>
      <c r="AS124" s="11"/>
    </row>
    <row r="125" spans="1:45" ht="15.6" x14ac:dyDescent="0.35">
      <c r="B125" s="2" t="s">
        <v>161</v>
      </c>
      <c r="C125" s="47">
        <f>1000/(2*PI()*C51*1000000*C124*0.000001)</f>
        <v>8.6412603416905504E-3</v>
      </c>
      <c r="D125" s="4" t="s">
        <v>21</v>
      </c>
      <c r="X125" s="44">
        <v>850000</v>
      </c>
      <c r="Y125" s="4" cm="1">
        <f t="array" ref="Y125">_xlfn.IFS(AND($C$69="Yes", $C$80="Yes"),1/((1/AH125)+(1/AM125)+(1/AR125)), AND($C$69="Yes", $C$80="No"), 1/((1/AH125)+(1/AM125)), AND($C$69="No", $C$80="Yes"), 1/((1/AH125)+(1/AR125)), AND($C$69="No", $C$80="No"), 1/(1/AH125))</f>
        <v>2.6759909835754034</v>
      </c>
      <c r="Z125" s="25">
        <f t="shared" ref="Z125:Z156" si="46">$C$49</f>
        <v>9.5231759468817092</v>
      </c>
      <c r="AA125" s="25">
        <f t="shared" si="44"/>
        <v>3.2727272727272729</v>
      </c>
      <c r="AB125" s="25">
        <f t="shared" ref="AB125:AB156" si="47">$C$53</f>
        <v>87.272727272727309</v>
      </c>
      <c r="AC125" s="25">
        <f t="shared" ref="AC125:AC156" si="48">$C$57</f>
        <v>4</v>
      </c>
      <c r="AE125" s="26">
        <f t="shared" ref="AE125:AE156" si="49">1000/(2*PI()*$X125*$C$62*$C$59*0.000001)</f>
        <v>2.845609567171381</v>
      </c>
      <c r="AF125" s="27">
        <f t="shared" ref="AF125:AF156" si="50">2*PI()*$X125*((0.000000001*$C$61)/$C$62)*1000</f>
        <v>0.22888746476154206</v>
      </c>
      <c r="AG125" s="28">
        <f t="shared" ref="AG125:AG156" si="51">($C$60)/$C$62</f>
        <v>0.7142857142857143</v>
      </c>
      <c r="AH125" s="29">
        <f t="shared" si="45"/>
        <v>2.7124598877905681</v>
      </c>
      <c r="AJ125" s="26">
        <f t="shared" ref="AJ125:AJ156" si="52">1000/(2*PI()*$X125*$C$73*$C$70*0.000001)</f>
        <v>3.9838533940399339</v>
      </c>
      <c r="AK125" s="27">
        <f t="shared" ref="AK125:AK156" si="53">2*PI()*$X125*((0.000000001*$C$72)/$C$73)*1000</f>
        <v>26.703537555513243</v>
      </c>
      <c r="AL125" s="29">
        <f t="shared" ref="AL125:AL156" si="54">($C$71)/$C$73</f>
        <v>60</v>
      </c>
      <c r="AM125" s="29">
        <f t="shared" ref="AM125:AM156" si="55">IF($C$69="Yes", SQRT(AL125^(2)+ABS(AJ125-AK125)^(2)), 0.000000001)</f>
        <v>1.0000000000000001E-9</v>
      </c>
      <c r="AN125" s="11"/>
      <c r="AO125" s="26">
        <f t="shared" ref="AO125:AO156" si="56">1000/(2*PI()*$X125*$C$84*$C$81*0.000001)</f>
        <v>199.19266970199669</v>
      </c>
      <c r="AP125" s="27">
        <f t="shared" ref="AP125:AP156" si="57">2*PI()*$X125*((0.000000001*$C$83)/$C$84)*1000</f>
        <v>0.16022122533307945</v>
      </c>
      <c r="AQ125" s="29">
        <f t="shared" ref="AQ125:AQ156" si="58">($C$82)/$C$84</f>
        <v>0.5</v>
      </c>
      <c r="AR125" s="29">
        <f t="shared" ref="AR125:AR156" si="59">IF($C$80="Yes", SQRT(AQ125^(2)+ABS(AO125-AP125)^(2)), 0.000000001)</f>
        <v>199.0330765139698</v>
      </c>
      <c r="AS125" s="11"/>
    </row>
    <row r="126" spans="1:45" ht="15.6" x14ac:dyDescent="0.35">
      <c r="B126" s="2" t="s">
        <v>162</v>
      </c>
      <c r="C126" s="47" cm="1">
        <f t="array" ref="C126">_xlfn.IFS(AND($C$69="Yes", $C$80="Yes"), 1/((1/C117)+(1/C120)+(1/C123)), AND($C$69="Yes", $C$80="No"), 1/((1/C117)+(1/C120)), AND($C$69="No", $C$80="Yes"), 1/((1/C117)+(1/C123)), AND($C$69="No", $C$80="No"), 1/((1/C117)))</f>
        <v>106.83405226754259</v>
      </c>
      <c r="D126" s="4" t="s">
        <v>21</v>
      </c>
      <c r="X126" s="22">
        <v>900000</v>
      </c>
      <c r="Y126" s="4" cm="1">
        <f t="array" ref="Y126">_xlfn.IFS(AND($C$69="Yes", $C$80="Yes"),1/((1/AH126)+(1/AM126)+(1/AR126)), AND($C$69="Yes", $C$80="No"), 1/((1/AH126)+(1/AM126)), AND($C$69="No", $C$80="Yes"), 1/((1/AH126)+(1/AR126)), AND($C$69="No", $C$80="No"), 1/(1/AH126))</f>
        <v>2.5132997689707133</v>
      </c>
      <c r="Z126" s="25">
        <f t="shared" si="46"/>
        <v>9.5231759468817092</v>
      </c>
      <c r="AA126" s="25">
        <f t="shared" si="44"/>
        <v>3.2727272727272729</v>
      </c>
      <c r="AB126" s="25">
        <f t="shared" si="47"/>
        <v>87.272727272727309</v>
      </c>
      <c r="AC126" s="25">
        <f t="shared" si="48"/>
        <v>4</v>
      </c>
      <c r="AE126" s="26">
        <f t="shared" si="49"/>
        <v>2.6875201467729717</v>
      </c>
      <c r="AF126" s="27">
        <f t="shared" si="50"/>
        <v>0.2423514332769269</v>
      </c>
      <c r="AG126" s="28">
        <f t="shared" si="51"/>
        <v>0.7142857142857143</v>
      </c>
      <c r="AH126" s="29">
        <f t="shared" si="45"/>
        <v>2.5473621884397506</v>
      </c>
      <c r="AJ126" s="26">
        <f t="shared" si="52"/>
        <v>3.7625282054821594</v>
      </c>
      <c r="AK126" s="27">
        <f t="shared" si="53"/>
        <v>28.274333882308138</v>
      </c>
      <c r="AL126" s="29">
        <f t="shared" si="54"/>
        <v>60</v>
      </c>
      <c r="AM126" s="29">
        <f t="shared" si="55"/>
        <v>1.0000000000000001E-9</v>
      </c>
      <c r="AN126" s="11"/>
      <c r="AO126" s="26">
        <f t="shared" si="56"/>
        <v>188.12641027410797</v>
      </c>
      <c r="AP126" s="27">
        <f t="shared" si="57"/>
        <v>0.16964600329384882</v>
      </c>
      <c r="AQ126" s="29">
        <f t="shared" si="58"/>
        <v>0.5</v>
      </c>
      <c r="AR126" s="29">
        <f t="shared" si="59"/>
        <v>187.95742931620018</v>
      </c>
      <c r="AS126" s="11"/>
    </row>
    <row r="127" spans="1:45" ht="15.6" x14ac:dyDescent="0.35">
      <c r="B127" s="2" t="s">
        <v>163</v>
      </c>
      <c r="C127" s="43">
        <f>C124*(1+(C125/C126)^(2))</f>
        <v>66.300128425804729</v>
      </c>
      <c r="D127" s="10" t="s">
        <v>8</v>
      </c>
      <c r="X127" s="44">
        <v>950000</v>
      </c>
      <c r="Y127" s="4" cm="1">
        <f t="array" ref="Y127">_xlfn.IFS(AND($C$69="Yes", $C$80="Yes"),1/((1/AH127)+(1/AM127)+(1/AR127)), AND($C$69="Yes", $C$80="No"), 1/((1/AH127)+(1/AM127)), AND($C$69="No", $C$80="Yes"), 1/((1/AH127)+(1/AR127)), AND($C$69="No", $C$80="No"), 1/(1/AH127))</f>
        <v>2.3671618486758654</v>
      </c>
      <c r="Z127" s="25">
        <f t="shared" si="46"/>
        <v>9.5231759468817092</v>
      </c>
      <c r="AA127" s="25">
        <f t="shared" si="44"/>
        <v>3.2727272727272729</v>
      </c>
      <c r="AB127" s="25">
        <f t="shared" si="47"/>
        <v>87.272727272727309</v>
      </c>
      <c r="AC127" s="25">
        <f t="shared" si="48"/>
        <v>4</v>
      </c>
      <c r="AE127" s="26">
        <f t="shared" si="49"/>
        <v>2.5460717179954462</v>
      </c>
      <c r="AF127" s="27">
        <f t="shared" si="50"/>
        <v>0.25581540179231171</v>
      </c>
      <c r="AG127" s="28">
        <f t="shared" si="51"/>
        <v>0.7142857142857143</v>
      </c>
      <c r="AH127" s="29">
        <f t="shared" si="45"/>
        <v>2.3990577474377321</v>
      </c>
      <c r="AJ127" s="26">
        <f t="shared" si="52"/>
        <v>3.5645004051936251</v>
      </c>
      <c r="AK127" s="27">
        <f t="shared" si="53"/>
        <v>29.845130209103036</v>
      </c>
      <c r="AL127" s="29">
        <f t="shared" si="54"/>
        <v>60</v>
      </c>
      <c r="AM127" s="29">
        <f t="shared" si="55"/>
        <v>1.0000000000000001E-9</v>
      </c>
      <c r="AO127" s="26">
        <f t="shared" si="56"/>
        <v>178.22502025968123</v>
      </c>
      <c r="AP127" s="27">
        <f t="shared" si="57"/>
        <v>0.17907078125461823</v>
      </c>
      <c r="AQ127" s="29">
        <f t="shared" si="58"/>
        <v>0.5</v>
      </c>
      <c r="AR127" s="29">
        <f t="shared" si="59"/>
        <v>178.04665154299994</v>
      </c>
      <c r="AS127" s="11"/>
    </row>
    <row r="128" spans="1:45" ht="15.6" x14ac:dyDescent="0.35">
      <c r="B128" s="2" t="s">
        <v>164</v>
      </c>
      <c r="C128" s="47">
        <f>1000/(2*PI()*$C$51*1000*C127*0.000001)</f>
        <v>8.641260285156271</v>
      </c>
      <c r="D128" s="4" t="s">
        <v>21</v>
      </c>
      <c r="X128" s="22">
        <v>1000000</v>
      </c>
      <c r="Y128" s="4" cm="1">
        <f t="array" ref="Y128">_xlfn.IFS(AND($C$69="Yes", $C$80="Yes"),1/((1/AH128)+(1/AM128)+(1/AR128)), AND($C$69="Yes", $C$80="No"), 1/((1/AH128)+(1/AM128)), AND($C$69="No", $C$80="Yes"), 1/((1/AH128)+(1/AR128)), AND($C$69="No", $C$80="No"), 1/(1/AH128))</f>
        <v>2.2351275348247106</v>
      </c>
      <c r="Z128" s="25">
        <f t="shared" si="46"/>
        <v>9.5231759468817092</v>
      </c>
      <c r="AA128" s="25">
        <f t="shared" si="44"/>
        <v>3.2727272727272729</v>
      </c>
      <c r="AB128" s="25">
        <f t="shared" si="47"/>
        <v>87.272727272727309</v>
      </c>
      <c r="AC128" s="25">
        <f t="shared" si="48"/>
        <v>4</v>
      </c>
      <c r="AE128" s="26">
        <f t="shared" si="49"/>
        <v>2.418768132095674</v>
      </c>
      <c r="AF128" s="27">
        <f t="shared" si="50"/>
        <v>0.26927937030769655</v>
      </c>
      <c r="AG128" s="28">
        <f t="shared" si="51"/>
        <v>0.7142857142857143</v>
      </c>
      <c r="AH128" s="29">
        <f t="shared" si="45"/>
        <v>2.2650620341804033</v>
      </c>
      <c r="AJ128" s="26">
        <f t="shared" si="52"/>
        <v>3.3862753849339438</v>
      </c>
      <c r="AK128" s="27">
        <f t="shared" si="53"/>
        <v>31.415926535897935</v>
      </c>
      <c r="AL128" s="29">
        <f t="shared" si="54"/>
        <v>60</v>
      </c>
      <c r="AM128" s="29">
        <f t="shared" si="55"/>
        <v>1.0000000000000001E-9</v>
      </c>
      <c r="AO128" s="26">
        <f t="shared" si="56"/>
        <v>169.31376924669718</v>
      </c>
      <c r="AP128" s="27">
        <f t="shared" si="57"/>
        <v>0.18849555921538758</v>
      </c>
      <c r="AQ128" s="29">
        <f t="shared" si="58"/>
        <v>0.5</v>
      </c>
      <c r="AR128" s="29">
        <f t="shared" si="59"/>
        <v>169.12601278297083</v>
      </c>
      <c r="AS128" s="11"/>
    </row>
    <row r="129" spans="1:45" ht="15.6" x14ac:dyDescent="0.35">
      <c r="B129" s="2" t="s">
        <v>165</v>
      </c>
      <c r="C129" s="47">
        <f>(C126*0.001)/(1+(C126/C125)^(2))*1000</f>
        <v>6.9894736948991007E-7</v>
      </c>
      <c r="D129" s="4" t="s">
        <v>21</v>
      </c>
      <c r="X129" s="44">
        <v>1500000</v>
      </c>
      <c r="Y129" s="4" cm="1">
        <f t="array" ref="Y129">_xlfn.IFS(AND($C$69="Yes", $C$80="Yes"),1/((1/AH129)+(1/AM129)+(1/AR129)), AND($C$69="Yes", $C$80="No"), 1/((1/AH129)+(1/AM129)), AND($C$69="No", $C$80="Yes"), 1/((1/AH129)+(1/AR129)), AND($C$69="No", $C$80="No"), 1/(1/AH129))</f>
        <v>1.3865989922626598</v>
      </c>
      <c r="Z129" s="25">
        <f t="shared" si="46"/>
        <v>9.5231759468817092</v>
      </c>
      <c r="AA129" s="25">
        <f t="shared" si="44"/>
        <v>3.2727272727272729</v>
      </c>
      <c r="AB129" s="25">
        <f t="shared" si="47"/>
        <v>87.272727272727309</v>
      </c>
      <c r="AC129" s="25">
        <f t="shared" si="48"/>
        <v>4</v>
      </c>
      <c r="AE129" s="26">
        <f t="shared" si="49"/>
        <v>1.6125120880637827</v>
      </c>
      <c r="AF129" s="27">
        <f t="shared" si="50"/>
        <v>0.40391905546154483</v>
      </c>
      <c r="AG129" s="28">
        <f t="shared" si="51"/>
        <v>0.7142857142857143</v>
      </c>
      <c r="AH129" s="29">
        <f t="shared" si="45"/>
        <v>1.4038878872927594</v>
      </c>
      <c r="AJ129" s="26">
        <f t="shared" si="52"/>
        <v>2.2575169232892955</v>
      </c>
      <c r="AK129" s="27">
        <f t="shared" si="53"/>
        <v>47.1238898038469</v>
      </c>
      <c r="AL129" s="29">
        <f t="shared" si="54"/>
        <v>60</v>
      </c>
      <c r="AM129" s="29">
        <f t="shared" si="55"/>
        <v>1.0000000000000001E-9</v>
      </c>
      <c r="AO129" s="26">
        <f t="shared" si="56"/>
        <v>112.8758461644648</v>
      </c>
      <c r="AP129" s="27">
        <f t="shared" si="57"/>
        <v>0.28274333882308139</v>
      </c>
      <c r="AQ129" s="29">
        <f t="shared" si="58"/>
        <v>0.5</v>
      </c>
      <c r="AR129" s="29">
        <f t="shared" si="59"/>
        <v>112.5942130125058</v>
      </c>
      <c r="AS129" s="11"/>
    </row>
    <row r="130" spans="1:45" ht="15.6" x14ac:dyDescent="0.35">
      <c r="B130" s="2" t="s">
        <v>166</v>
      </c>
      <c r="C130" s="47">
        <f>SQRT(C128^(2)+C129^(2))</f>
        <v>8.6412602851562994</v>
      </c>
      <c r="D130" s="4" t="s">
        <v>21</v>
      </c>
      <c r="X130" s="22">
        <v>2000000</v>
      </c>
      <c r="Y130" s="4" cm="1">
        <f t="array" ref="Y130">_xlfn.IFS(AND($C$69="Yes", $C$80="Yes"),1/((1/AH130)+(1/AM130)+(1/AR130)), AND($C$69="Yes", $C$80="No"), 1/((1/AH130)+(1/AM130)), AND($C$69="No", $C$80="Yes"), 1/((1/AH130)+(1/AR130)), AND($C$69="No", $C$80="No"), 1/(1/AH130))</f>
        <v>0.96864143458043206</v>
      </c>
      <c r="Z130" s="25">
        <f t="shared" si="46"/>
        <v>9.5231759468817092</v>
      </c>
      <c r="AA130" s="25">
        <f t="shared" si="44"/>
        <v>3.2727272727272729</v>
      </c>
      <c r="AB130" s="25">
        <f t="shared" si="47"/>
        <v>87.272727272727309</v>
      </c>
      <c r="AC130" s="25">
        <f t="shared" si="48"/>
        <v>4</v>
      </c>
      <c r="AE130" s="26">
        <f t="shared" si="49"/>
        <v>1.209384066047837</v>
      </c>
      <c r="AF130" s="27">
        <f t="shared" si="50"/>
        <v>0.53855874061539311</v>
      </c>
      <c r="AG130" s="28">
        <f t="shared" si="51"/>
        <v>0.7142857142857143</v>
      </c>
      <c r="AH130" s="29">
        <f t="shared" si="45"/>
        <v>0.97990341303324247</v>
      </c>
      <c r="AJ130" s="26">
        <f t="shared" si="52"/>
        <v>1.6931376924669719</v>
      </c>
      <c r="AK130" s="27">
        <f t="shared" si="53"/>
        <v>62.831853071795869</v>
      </c>
      <c r="AL130" s="29">
        <f t="shared" si="54"/>
        <v>60</v>
      </c>
      <c r="AM130" s="29">
        <f t="shared" si="55"/>
        <v>1.0000000000000001E-9</v>
      </c>
      <c r="AO130" s="26">
        <f t="shared" si="56"/>
        <v>84.656884623348589</v>
      </c>
      <c r="AP130" s="27">
        <f t="shared" si="57"/>
        <v>0.37699111843077515</v>
      </c>
      <c r="AQ130" s="29">
        <f t="shared" si="58"/>
        <v>0.5</v>
      </c>
      <c r="AR130" s="29">
        <f t="shared" si="59"/>
        <v>84.281376645141989</v>
      </c>
      <c r="AS130" s="11"/>
    </row>
    <row r="131" spans="1:45" ht="15.6" x14ac:dyDescent="0.35">
      <c r="A131" t="str">
        <f>IF(C131&lt;=C29,"GOOD","BAD")</f>
        <v>GOOD</v>
      </c>
      <c r="B131" s="21" t="s">
        <v>298</v>
      </c>
      <c r="C131" s="47">
        <f>SQRT((1.21*C31*0.000000001*POWER(C40*0.01*(C38/C41),2))/(C127*0.000001))*1000</f>
        <v>31.466560150009343</v>
      </c>
      <c r="D131" s="4" t="s">
        <v>20</v>
      </c>
      <c r="X131" s="44">
        <v>2500000</v>
      </c>
      <c r="Y131" s="4" cm="1">
        <f t="array" ref="Y131">_xlfn.IFS(AND($C$69="Yes", $C$80="Yes"),1/((1/AH131)+(1/AM131)+(1/AR131)), AND($C$69="Yes", $C$80="No"), 1/((1/AH131)+(1/AM131)), AND($C$69="No", $C$80="Yes"), 1/((1/AH131)+(1/AR131)), AND($C$69="No", $C$80="No"), 1/(1/AH131))</f>
        <v>0.76376931303902751</v>
      </c>
      <c r="Z131" s="25">
        <f t="shared" si="46"/>
        <v>9.5231759468817092</v>
      </c>
      <c r="AA131" s="25">
        <f t="shared" si="44"/>
        <v>3.2727272727272729</v>
      </c>
      <c r="AB131" s="25">
        <f t="shared" si="47"/>
        <v>87.272727272727309</v>
      </c>
      <c r="AC131" s="25">
        <f t="shared" si="48"/>
        <v>4</v>
      </c>
      <c r="AE131" s="26">
        <f t="shared" si="49"/>
        <v>0.96750725283826955</v>
      </c>
      <c r="AF131" s="27">
        <f t="shared" si="50"/>
        <v>0.67319842576924149</v>
      </c>
      <c r="AG131" s="28">
        <f t="shared" si="51"/>
        <v>0.7142857142857143</v>
      </c>
      <c r="AH131" s="29">
        <f t="shared" si="45"/>
        <v>0.77254240487069714</v>
      </c>
      <c r="AJ131" s="26">
        <f t="shared" si="52"/>
        <v>1.3545101539735773</v>
      </c>
      <c r="AK131" s="27">
        <f t="shared" si="53"/>
        <v>78.539816339744831</v>
      </c>
      <c r="AL131" s="29">
        <f t="shared" si="54"/>
        <v>60</v>
      </c>
      <c r="AM131" s="29">
        <f t="shared" si="55"/>
        <v>1.0000000000000001E-9</v>
      </c>
      <c r="AO131" s="26">
        <f t="shared" si="56"/>
        <v>67.725507698678854</v>
      </c>
      <c r="AP131" s="27">
        <f t="shared" si="57"/>
        <v>0.47123889803846902</v>
      </c>
      <c r="AQ131" s="29">
        <f t="shared" si="58"/>
        <v>0.5</v>
      </c>
      <c r="AR131" s="29">
        <f t="shared" si="59"/>
        <v>67.256127393039748</v>
      </c>
      <c r="AS131" s="11"/>
    </row>
    <row r="132" spans="1:45" ht="15.6" x14ac:dyDescent="0.35">
      <c r="B132" s="2" t="s">
        <v>167</v>
      </c>
      <c r="C132" s="47">
        <f>C131/(C40*0.01*C38)</f>
        <v>15.103948872004487</v>
      </c>
      <c r="D132" s="4" t="s">
        <v>21</v>
      </c>
      <c r="X132" s="22">
        <v>3000000</v>
      </c>
      <c r="Y132" s="4" cm="1">
        <f t="array" ref="Y132">_xlfn.IFS(AND($C$69="Yes", $C$80="Yes"),1/((1/AH132)+(1/AM132)+(1/AR132)), AND($C$69="Yes", $C$80="No"), 1/((1/AH132)+(1/AM132)), AND($C$69="No", $C$80="Yes"), 1/((1/AH132)+(1/AR132)), AND($C$69="No", $C$80="No"), 1/(1/AH132))</f>
        <v>0.70527145729781548</v>
      </c>
      <c r="Z132" s="25">
        <f t="shared" si="46"/>
        <v>9.5231759468817092</v>
      </c>
      <c r="AA132" s="25">
        <f t="shared" si="44"/>
        <v>3.2727272727272729</v>
      </c>
      <c r="AB132" s="25">
        <f t="shared" si="47"/>
        <v>87.272727272727309</v>
      </c>
      <c r="AC132" s="25">
        <f t="shared" si="48"/>
        <v>4</v>
      </c>
      <c r="AE132" s="26">
        <f t="shared" si="49"/>
        <v>0.80625604403189133</v>
      </c>
      <c r="AF132" s="27">
        <f t="shared" si="50"/>
        <v>0.80783811092308966</v>
      </c>
      <c r="AG132" s="28">
        <f t="shared" si="51"/>
        <v>0.7142857142857143</v>
      </c>
      <c r="AH132" s="29">
        <f t="shared" si="45"/>
        <v>0.71428746633851925</v>
      </c>
      <c r="AJ132" s="26">
        <f t="shared" si="52"/>
        <v>1.1287584616446478</v>
      </c>
      <c r="AK132" s="27">
        <f t="shared" si="53"/>
        <v>94.247779607693801</v>
      </c>
      <c r="AL132" s="29">
        <f t="shared" si="54"/>
        <v>60</v>
      </c>
      <c r="AM132" s="29">
        <f t="shared" si="55"/>
        <v>1.0000000000000001E-9</v>
      </c>
      <c r="AO132" s="26">
        <f t="shared" si="56"/>
        <v>56.437923082232402</v>
      </c>
      <c r="AP132" s="27">
        <f t="shared" si="57"/>
        <v>0.56548667764616278</v>
      </c>
      <c r="AQ132" s="29">
        <f t="shared" si="58"/>
        <v>0.5</v>
      </c>
      <c r="AR132" s="29">
        <f t="shared" si="59"/>
        <v>55.874673598908238</v>
      </c>
      <c r="AS132" s="11"/>
    </row>
    <row r="133" spans="1:45" x14ac:dyDescent="0.3">
      <c r="X133" s="44">
        <v>3500000</v>
      </c>
      <c r="Y133" s="4" cm="1">
        <f t="array" ref="Y133">_xlfn.IFS(AND($C$69="Yes", $C$80="Yes"),1/((1/AH133)+(1/AM133)+(1/AR133)), AND($C$69="Yes", $C$80="No"), 1/((1/AH133)+(1/AM133)), AND($C$69="No", $C$80="Yes"), 1/((1/AH133)+(1/AR133)), AND($C$69="No", $C$80="No"), 1/(1/AH133))</f>
        <v>0.74540738746968971</v>
      </c>
      <c r="Z133" s="25">
        <f t="shared" si="46"/>
        <v>9.5231759468817092</v>
      </c>
      <c r="AA133" s="25">
        <f t="shared" si="44"/>
        <v>3.2727272727272729</v>
      </c>
      <c r="AB133" s="25">
        <f t="shared" si="47"/>
        <v>87.272727272727309</v>
      </c>
      <c r="AC133" s="25">
        <f t="shared" si="48"/>
        <v>4</v>
      </c>
      <c r="AE133" s="26">
        <f t="shared" si="49"/>
        <v>0.69107660917019254</v>
      </c>
      <c r="AF133" s="27">
        <f t="shared" si="50"/>
        <v>0.94247779607693793</v>
      </c>
      <c r="AG133" s="28">
        <f t="shared" si="51"/>
        <v>0.7142857142857143</v>
      </c>
      <c r="AH133" s="29">
        <f t="shared" si="45"/>
        <v>0.75723618403426385</v>
      </c>
      <c r="AJ133" s="26">
        <f t="shared" si="52"/>
        <v>0.96750725283826955</v>
      </c>
      <c r="AK133" s="27">
        <f t="shared" si="53"/>
        <v>109.95574287564276</v>
      </c>
      <c r="AL133" s="29">
        <f t="shared" si="54"/>
        <v>60</v>
      </c>
      <c r="AM133" s="29">
        <f t="shared" si="55"/>
        <v>1.0000000000000001E-9</v>
      </c>
      <c r="AO133" s="26">
        <f t="shared" si="56"/>
        <v>48.375362641913476</v>
      </c>
      <c r="AP133" s="27">
        <f t="shared" si="57"/>
        <v>0.6597344572538566</v>
      </c>
      <c r="AQ133" s="29">
        <f t="shared" si="58"/>
        <v>0.5</v>
      </c>
      <c r="AR133" s="29">
        <f t="shared" si="59"/>
        <v>47.71824779952302</v>
      </c>
      <c r="AS133" s="11"/>
    </row>
    <row r="134" spans="1:45" ht="15.6" x14ac:dyDescent="0.35">
      <c r="B134" s="2" t="s">
        <v>299</v>
      </c>
      <c r="C134" s="47">
        <f>IF(C80="Yes", 1000/(2*PI()*C55*1000000*C86*0.000001), "")</f>
        <v>4.8375362641913489</v>
      </c>
      <c r="D134" s="4" t="s">
        <v>21</v>
      </c>
      <c r="X134" s="22">
        <v>4000000</v>
      </c>
      <c r="Y134" s="4" cm="1">
        <f t="array" ref="Y134">_xlfn.IFS(AND($C$69="Yes", $C$80="Yes"),1/((1/AH134)+(1/AM134)+(1/AR134)), AND($C$69="Yes", $C$80="No"), 1/((1/AH134)+(1/AM134)), AND($C$69="No", $C$80="Yes"), 1/((1/AH134)+(1/AR134)), AND($C$69="No", $C$80="No"), 1/(1/AH134))</f>
        <v>0.83909872352164561</v>
      </c>
      <c r="Z134" s="25">
        <f t="shared" si="46"/>
        <v>9.5231759468817092</v>
      </c>
      <c r="AA134" s="25">
        <f t="shared" si="44"/>
        <v>3.2727272727272729</v>
      </c>
      <c r="AB134" s="25">
        <f t="shared" si="47"/>
        <v>87.272727272727309</v>
      </c>
      <c r="AC134" s="25">
        <f t="shared" si="48"/>
        <v>4</v>
      </c>
      <c r="AE134" s="26">
        <f t="shared" si="49"/>
        <v>0.6046920330239185</v>
      </c>
      <c r="AF134" s="27">
        <f t="shared" si="50"/>
        <v>1.0771174812307862</v>
      </c>
      <c r="AG134" s="28">
        <f t="shared" si="51"/>
        <v>0.7142857142857143</v>
      </c>
      <c r="AH134" s="29">
        <f t="shared" si="45"/>
        <v>0.85638185743633832</v>
      </c>
      <c r="AJ134" s="26">
        <f t="shared" si="52"/>
        <v>0.84656884623348594</v>
      </c>
      <c r="AK134" s="27">
        <f t="shared" si="53"/>
        <v>125.66370614359174</v>
      </c>
      <c r="AL134" s="29">
        <f t="shared" si="54"/>
        <v>60</v>
      </c>
      <c r="AM134" s="29">
        <f t="shared" si="55"/>
        <v>1.0000000000000001E-9</v>
      </c>
      <c r="AO134" s="26">
        <f t="shared" si="56"/>
        <v>42.328442311674294</v>
      </c>
      <c r="AP134" s="27">
        <f t="shared" si="57"/>
        <v>0.7539822368615503</v>
      </c>
      <c r="AQ134" s="29">
        <f t="shared" si="58"/>
        <v>0.5</v>
      </c>
      <c r="AR134" s="29">
        <f t="shared" si="59"/>
        <v>41.577466619699166</v>
      </c>
    </row>
    <row r="135" spans="1:45" ht="15.6" x14ac:dyDescent="0.35">
      <c r="B135" s="2" t="s">
        <v>300</v>
      </c>
      <c r="C135" s="47">
        <f>IF(C80="Yes", (2*PI()*C55*1000000*C88*0.000000001)*1000, "")</f>
        <v>6.5973445725385647</v>
      </c>
      <c r="D135" s="4" t="s">
        <v>21</v>
      </c>
      <c r="X135" s="44">
        <v>4500000</v>
      </c>
      <c r="Y135" s="4" cm="1">
        <f t="array" ref="Y135">_xlfn.IFS(AND($C$69="Yes", $C$80="Yes"),1/((1/AH135)+(1/AM135)+(1/AR135)), AND($C$69="Yes", $C$80="No"), 1/((1/AH135)+(1/AM135)), AND($C$69="No", $C$80="Yes"), 1/((1/AH135)+(1/AR135)), AND($C$69="No", $C$80="No"), 1/(1/AH135))</f>
        <v>0.95670362904964301</v>
      </c>
      <c r="Z135" s="25">
        <f t="shared" si="46"/>
        <v>9.5231759468817092</v>
      </c>
      <c r="AA135" s="25">
        <f t="shared" si="44"/>
        <v>3.2727272727272729</v>
      </c>
      <c r="AB135" s="25">
        <f t="shared" si="47"/>
        <v>87.272727272727309</v>
      </c>
      <c r="AC135" s="25">
        <f t="shared" si="48"/>
        <v>4</v>
      </c>
      <c r="AE135" s="26">
        <f t="shared" si="49"/>
        <v>0.53750402935459418</v>
      </c>
      <c r="AF135" s="27">
        <f t="shared" si="50"/>
        <v>1.2117571663846345</v>
      </c>
      <c r="AG135" s="28">
        <f t="shared" si="51"/>
        <v>0.7142857142857143</v>
      </c>
      <c r="AH135" s="29">
        <f t="shared" si="45"/>
        <v>0.98225321298914736</v>
      </c>
      <c r="AJ135" s="26">
        <f t="shared" si="52"/>
        <v>0.75250564109643192</v>
      </c>
      <c r="AK135" s="27">
        <f t="shared" si="53"/>
        <v>141.37166941154069</v>
      </c>
      <c r="AL135" s="29">
        <f t="shared" si="54"/>
        <v>60</v>
      </c>
      <c r="AM135" s="29">
        <f t="shared" si="55"/>
        <v>1.0000000000000001E-9</v>
      </c>
      <c r="AO135" s="26">
        <f t="shared" si="56"/>
        <v>37.625282054821596</v>
      </c>
      <c r="AP135" s="27">
        <f t="shared" si="57"/>
        <v>0.84823001646924412</v>
      </c>
      <c r="AQ135" s="29">
        <f t="shared" si="58"/>
        <v>0.5</v>
      </c>
      <c r="AR135" s="29">
        <f t="shared" si="59"/>
        <v>36.780450739919935</v>
      </c>
    </row>
    <row r="136" spans="1:45" ht="15.6" x14ac:dyDescent="0.35">
      <c r="B136" s="2" t="s">
        <v>149</v>
      </c>
      <c r="C136" s="47">
        <f>IF(C80="Yes", C87, "")</f>
        <v>0.5</v>
      </c>
      <c r="D136" s="4" t="s">
        <v>21</v>
      </c>
      <c r="X136" s="22">
        <v>5000000</v>
      </c>
      <c r="Y136" s="4" cm="1">
        <f t="array" ref="Y136">_xlfn.IFS(AND($C$69="Yes", $C$80="Yes"),1/((1/AH136)+(1/AM136)+(1/AR136)), AND($C$69="Yes", $C$80="No"), 1/((1/AH136)+(1/AM136)), AND($C$69="No", $C$80="Yes"), 1/((1/AH136)+(1/AR136)), AND($C$69="No", $C$80="No"), 1/(1/AH136))</f>
        <v>1.0831358640395423</v>
      </c>
      <c r="Z136" s="25">
        <f t="shared" si="46"/>
        <v>9.5231759468817092</v>
      </c>
      <c r="AA136" s="25">
        <f t="shared" si="44"/>
        <v>3.2727272727272729</v>
      </c>
      <c r="AB136" s="25">
        <f t="shared" si="47"/>
        <v>87.272727272727309</v>
      </c>
      <c r="AC136" s="25">
        <f t="shared" si="48"/>
        <v>4</v>
      </c>
      <c r="AE136" s="26">
        <f t="shared" si="49"/>
        <v>0.48375362641913477</v>
      </c>
      <c r="AF136" s="27">
        <f t="shared" si="50"/>
        <v>1.346396851538483</v>
      </c>
      <c r="AG136" s="28">
        <f t="shared" si="51"/>
        <v>0.7142857142857143</v>
      </c>
      <c r="AH136" s="29">
        <f t="shared" si="45"/>
        <v>1.1199809888908667</v>
      </c>
      <c r="AJ136" s="26">
        <f t="shared" si="52"/>
        <v>0.67725507698678866</v>
      </c>
      <c r="AK136" s="27">
        <f t="shared" si="53"/>
        <v>157.07963267948966</v>
      </c>
      <c r="AL136" s="29">
        <f t="shared" si="54"/>
        <v>60</v>
      </c>
      <c r="AM136" s="29">
        <f t="shared" si="55"/>
        <v>1.0000000000000001E-9</v>
      </c>
      <c r="AO136" s="26">
        <f t="shared" si="56"/>
        <v>33.862753849339427</v>
      </c>
      <c r="AP136" s="27">
        <f t="shared" si="57"/>
        <v>0.94247779607693805</v>
      </c>
      <c r="AQ136" s="29">
        <f t="shared" si="58"/>
        <v>0.5</v>
      </c>
      <c r="AR136" s="29">
        <f t="shared" si="59"/>
        <v>32.924072886309311</v>
      </c>
    </row>
    <row r="137" spans="1:45" ht="15.6" x14ac:dyDescent="0.35">
      <c r="B137" s="2" t="s">
        <v>301</v>
      </c>
      <c r="C137" s="47">
        <f>IF(C80="Yes", SQRT(C136^(2)+ABS(C134-C135)^(2)), "")</f>
        <v>1.8294603800377556</v>
      </c>
      <c r="D137" s="4" t="s">
        <v>21</v>
      </c>
      <c r="X137" s="44">
        <v>5500000</v>
      </c>
      <c r="Y137" s="4" cm="1">
        <f t="array" ref="Y137">_xlfn.IFS(AND($C$69="Yes", $C$80="Yes"),1/((1/AH137)+(1/AM137)+(1/AR137)), AND($C$69="Yes", $C$80="No"), 1/((1/AH137)+(1/AM137)), AND($C$69="No", $C$80="Yes"), 1/((1/AH137)+(1/AR137)), AND($C$69="No", $C$80="No"), 1/(1/AH137))</f>
        <v>1.2112973402818423</v>
      </c>
      <c r="Z137" s="25">
        <f t="shared" si="46"/>
        <v>9.5231759468817092</v>
      </c>
      <c r="AA137" s="25">
        <f t="shared" si="44"/>
        <v>3.2727272727272729</v>
      </c>
      <c r="AB137" s="25">
        <f t="shared" si="47"/>
        <v>87.272727272727309</v>
      </c>
      <c r="AC137" s="25">
        <f t="shared" si="48"/>
        <v>4</v>
      </c>
      <c r="AE137" s="26">
        <f t="shared" si="49"/>
        <v>0.43977602401739524</v>
      </c>
      <c r="AF137" s="27">
        <f t="shared" si="50"/>
        <v>1.481036536692331</v>
      </c>
      <c r="AG137" s="28">
        <f t="shared" si="51"/>
        <v>0.7142857142857143</v>
      </c>
      <c r="AH137" s="29">
        <f t="shared" si="45"/>
        <v>1.2627064333758353</v>
      </c>
      <c r="AJ137" s="26">
        <f t="shared" si="52"/>
        <v>0.61568643362435338</v>
      </c>
      <c r="AK137" s="27">
        <f t="shared" si="53"/>
        <v>172.78759594743863</v>
      </c>
      <c r="AL137" s="29">
        <f t="shared" si="54"/>
        <v>60</v>
      </c>
      <c r="AM137" s="29">
        <f t="shared" si="55"/>
        <v>1.0000000000000001E-9</v>
      </c>
      <c r="AO137" s="26">
        <f t="shared" si="56"/>
        <v>30.784321681217669</v>
      </c>
      <c r="AP137" s="27">
        <f t="shared" si="57"/>
        <v>1.0367255756846319</v>
      </c>
      <c r="AQ137" s="29">
        <f t="shared" si="58"/>
        <v>0.5</v>
      </c>
      <c r="AR137" s="29">
        <f t="shared" si="59"/>
        <v>29.751797829003955</v>
      </c>
    </row>
    <row r="138" spans="1:45" x14ac:dyDescent="0.3">
      <c r="A138" t="str">
        <f>IF(C138&lt;=C30,"GOOD","BAD")</f>
        <v>GOOD</v>
      </c>
      <c r="B138" s="2" t="s">
        <v>408</v>
      </c>
      <c r="C138" s="47">
        <f>IF(C80="Yes",C137*0.001*(C37/C41)*1000, "")</f>
        <v>45.736509500943889</v>
      </c>
      <c r="D138" s="4" t="s">
        <v>20</v>
      </c>
      <c r="X138" s="22">
        <v>6000000</v>
      </c>
      <c r="Y138" s="4" cm="1">
        <f t="array" ref="Y138">_xlfn.IFS(AND($C$69="Yes", $C$80="Yes"),1/((1/AH138)+(1/AM138)+(1/AR138)), AND($C$69="Yes", $C$80="No"), 1/((1/AH138)+(1/AM138)), AND($C$69="No", $C$80="Yes"), 1/((1/AH138)+(1/AR138)), AND($C$69="No", $C$80="No"), 1/(1/AH138))</f>
        <v>1.3378036092997208</v>
      </c>
      <c r="Z138" s="25">
        <f t="shared" si="46"/>
        <v>9.5231759468817092</v>
      </c>
      <c r="AA138" s="25">
        <f t="shared" si="44"/>
        <v>3.2727272727272729</v>
      </c>
      <c r="AB138" s="25">
        <f t="shared" si="47"/>
        <v>87.272727272727309</v>
      </c>
      <c r="AC138" s="25">
        <f t="shared" si="48"/>
        <v>4</v>
      </c>
      <c r="AE138" s="26">
        <f t="shared" si="49"/>
        <v>0.40312802201594566</v>
      </c>
      <c r="AF138" s="27">
        <f t="shared" si="50"/>
        <v>1.6156762218461793</v>
      </c>
      <c r="AG138" s="28">
        <f t="shared" si="51"/>
        <v>0.7142857142857143</v>
      </c>
      <c r="AH138" s="29">
        <f t="shared" si="45"/>
        <v>1.4072942899565084</v>
      </c>
      <c r="AJ138" s="26">
        <f t="shared" si="52"/>
        <v>0.56437923082232389</v>
      </c>
      <c r="AK138" s="27">
        <f t="shared" si="53"/>
        <v>188.4955592153876</v>
      </c>
      <c r="AL138" s="29">
        <f t="shared" si="54"/>
        <v>60</v>
      </c>
      <c r="AM138" s="29">
        <f t="shared" si="55"/>
        <v>1.0000000000000001E-9</v>
      </c>
      <c r="AO138" s="26">
        <f t="shared" si="56"/>
        <v>28.218961541116201</v>
      </c>
      <c r="AP138" s="27">
        <f t="shared" si="57"/>
        <v>1.1309733552923256</v>
      </c>
      <c r="AQ138" s="29">
        <f t="shared" si="58"/>
        <v>0.5</v>
      </c>
      <c r="AR138" s="29">
        <f t="shared" si="59"/>
        <v>27.09260238432871</v>
      </c>
    </row>
    <row r="139" spans="1:45" x14ac:dyDescent="0.3">
      <c r="X139" s="44">
        <v>6500000</v>
      </c>
      <c r="Y139" s="4" cm="1">
        <f t="array" ref="Y139">_xlfn.IFS(AND($C$69="Yes", $C$80="Yes"),1/((1/AH139)+(1/AM139)+(1/AR139)), AND($C$69="Yes", $C$80="No"), 1/((1/AH139)+(1/AM139)), AND($C$69="No", $C$80="Yes"), 1/((1/AH139)+(1/AR139)), AND($C$69="No", $C$80="No"), 1/(1/AH139))</f>
        <v>1.4609574410352806</v>
      </c>
      <c r="Z139" s="25">
        <f t="shared" si="46"/>
        <v>9.5231759468817092</v>
      </c>
      <c r="AA139" s="25">
        <f t="shared" si="44"/>
        <v>3.2727272727272729</v>
      </c>
      <c r="AB139" s="25">
        <f t="shared" si="47"/>
        <v>87.272727272727309</v>
      </c>
      <c r="AC139" s="25">
        <f t="shared" si="48"/>
        <v>4</v>
      </c>
      <c r="AE139" s="26">
        <f t="shared" si="49"/>
        <v>0.37211817416856519</v>
      </c>
      <c r="AF139" s="27">
        <f t="shared" si="50"/>
        <v>1.7503159070000278</v>
      </c>
      <c r="AG139" s="28">
        <f t="shared" si="51"/>
        <v>0.7142857142857143</v>
      </c>
      <c r="AH139" s="29">
        <f t="shared" si="45"/>
        <v>1.5522992857095685</v>
      </c>
      <c r="AJ139" s="26">
        <f t="shared" si="52"/>
        <v>0.52096544383599142</v>
      </c>
      <c r="AK139" s="27">
        <f t="shared" si="53"/>
        <v>204.20352248333657</v>
      </c>
      <c r="AL139" s="29">
        <f t="shared" si="54"/>
        <v>60</v>
      </c>
      <c r="AM139" s="29">
        <f t="shared" si="55"/>
        <v>1.0000000000000001E-9</v>
      </c>
      <c r="AO139" s="26">
        <f t="shared" si="56"/>
        <v>26.048272191799565</v>
      </c>
      <c r="AP139" s="27">
        <f t="shared" si="57"/>
        <v>1.2252211349000195</v>
      </c>
      <c r="AQ139" s="29">
        <f t="shared" si="58"/>
        <v>0.5</v>
      </c>
      <c r="AR139" s="29">
        <f t="shared" si="59"/>
        <v>24.828086188295739</v>
      </c>
    </row>
    <row r="140" spans="1:45" x14ac:dyDescent="0.3">
      <c r="X140" s="22">
        <v>7000000</v>
      </c>
      <c r="Y140" s="4" cm="1">
        <f t="array" ref="Y140">_xlfn.IFS(AND($C$69="Yes", $C$80="Yes"),1/((1/AH140)+(1/AM140)+(1/AR140)), AND($C$69="Yes", $C$80="No"), 1/((1/AH140)+(1/AM140)), AND($C$69="No", $C$80="Yes"), 1/((1/AH140)+(1/AR140)), AND($C$69="No", $C$80="No"), 1/(1/AH140))</f>
        <v>1.5798461281364615</v>
      </c>
      <c r="Z140" s="25">
        <f t="shared" si="46"/>
        <v>9.5231759468817092</v>
      </c>
      <c r="AA140" s="25">
        <f t="shared" si="44"/>
        <v>3.2727272727272729</v>
      </c>
      <c r="AB140" s="25">
        <f t="shared" si="47"/>
        <v>87.272727272727309</v>
      </c>
      <c r="AC140" s="25">
        <f t="shared" si="48"/>
        <v>4</v>
      </c>
      <c r="AE140" s="26">
        <f t="shared" si="49"/>
        <v>0.34553830458509627</v>
      </c>
      <c r="AF140" s="27">
        <f t="shared" si="50"/>
        <v>1.8849555921538759</v>
      </c>
      <c r="AG140" s="28">
        <f t="shared" si="51"/>
        <v>0.7142857142857143</v>
      </c>
      <c r="AH140" s="29">
        <f t="shared" si="45"/>
        <v>1.6970591229825411</v>
      </c>
      <c r="AJ140" s="26">
        <f t="shared" si="52"/>
        <v>0.48375362641913477</v>
      </c>
      <c r="AK140" s="27">
        <f t="shared" si="53"/>
        <v>219.91148575128551</v>
      </c>
      <c r="AL140" s="29">
        <f t="shared" si="54"/>
        <v>60</v>
      </c>
      <c r="AM140" s="29">
        <f t="shared" si="55"/>
        <v>1.0000000000000001E-9</v>
      </c>
      <c r="AO140" s="26">
        <f t="shared" si="56"/>
        <v>24.187681320956738</v>
      </c>
      <c r="AP140" s="27">
        <f t="shared" si="57"/>
        <v>1.3194689145077132</v>
      </c>
      <c r="AQ140" s="29">
        <f t="shared" si="58"/>
        <v>0.5</v>
      </c>
      <c r="AR140" s="29">
        <f t="shared" si="59"/>
        <v>22.873677856139995</v>
      </c>
    </row>
    <row r="141" spans="1:45" x14ac:dyDescent="0.3">
      <c r="X141" s="44">
        <v>7500000</v>
      </c>
      <c r="Y141" s="4" cm="1">
        <f t="array" ref="Y141">_xlfn.IFS(AND($C$69="Yes", $C$80="Yes"),1/((1/AH141)+(1/AM141)+(1/AR141)), AND($C$69="Yes", $C$80="No"), 1/((1/AH141)+(1/AM141)), AND($C$69="No", $C$80="Yes"), 1/((1/AH141)+(1/AR141)), AND($C$69="No", $C$80="No"), 1/(1/AH141))</f>
        <v>1.6939341997448065</v>
      </c>
      <c r="Z141" s="25">
        <f t="shared" si="46"/>
        <v>9.5231759468817092</v>
      </c>
      <c r="AA141" s="25">
        <f t="shared" si="44"/>
        <v>3.2727272727272729</v>
      </c>
      <c r="AB141" s="25">
        <f t="shared" si="47"/>
        <v>87.272727272727309</v>
      </c>
      <c r="AC141" s="25">
        <f t="shared" si="48"/>
        <v>4</v>
      </c>
      <c r="AE141" s="26">
        <f t="shared" si="49"/>
        <v>0.3225024176127565</v>
      </c>
      <c r="AF141" s="27">
        <f t="shared" si="50"/>
        <v>2.0195952773077241</v>
      </c>
      <c r="AG141" s="28">
        <f t="shared" si="51"/>
        <v>0.7142857142857143</v>
      </c>
      <c r="AH141" s="29">
        <f t="shared" si="45"/>
        <v>1.841284403904051</v>
      </c>
      <c r="AJ141" s="26">
        <f t="shared" si="52"/>
        <v>0.45150338465785911</v>
      </c>
      <c r="AK141" s="27">
        <f t="shared" si="53"/>
        <v>235.61944901923448</v>
      </c>
      <c r="AL141" s="29">
        <f t="shared" si="54"/>
        <v>60</v>
      </c>
      <c r="AM141" s="29">
        <f t="shared" si="55"/>
        <v>1.0000000000000001E-9</v>
      </c>
      <c r="AO141" s="26">
        <f t="shared" si="56"/>
        <v>22.575169232892961</v>
      </c>
      <c r="AP141" s="27">
        <f t="shared" si="57"/>
        <v>1.4137166941154069</v>
      </c>
      <c r="AQ141" s="29">
        <f t="shared" si="58"/>
        <v>0.5</v>
      </c>
      <c r="AR141" s="29">
        <f t="shared" si="59"/>
        <v>21.167358681492004</v>
      </c>
    </row>
    <row r="142" spans="1:45" x14ac:dyDescent="0.3">
      <c r="X142" s="22">
        <v>8000000</v>
      </c>
      <c r="Y142" s="4" cm="1">
        <f t="array" ref="Y142">_xlfn.IFS(AND($C$69="Yes", $C$80="Yes"),1/((1/AH142)+(1/AM142)+(1/AR142)), AND($C$69="Yes", $C$80="No"), 1/((1/AH142)+(1/AM142)), AND($C$69="No", $C$80="Yes"), 1/((1/AH142)+(1/AR142)), AND($C$69="No", $C$80="No"), 1/(1/AH142))</f>
        <v>1.8028736311261533</v>
      </c>
      <c r="Z142" s="25">
        <f t="shared" si="46"/>
        <v>9.5231759468817092</v>
      </c>
      <c r="AA142" s="25">
        <f t="shared" si="44"/>
        <v>3.2727272727272729</v>
      </c>
      <c r="AB142" s="25">
        <f t="shared" si="47"/>
        <v>87.272727272727309</v>
      </c>
      <c r="AC142" s="25">
        <f t="shared" si="48"/>
        <v>4</v>
      </c>
      <c r="AE142" s="26">
        <f t="shared" si="49"/>
        <v>0.30234601651195925</v>
      </c>
      <c r="AF142" s="27">
        <f t="shared" si="50"/>
        <v>2.1542349624615724</v>
      </c>
      <c r="AG142" s="28">
        <f t="shared" si="51"/>
        <v>0.7142857142857143</v>
      </c>
      <c r="AH142" s="29">
        <f t="shared" si="45"/>
        <v>1.9848669350268853</v>
      </c>
      <c r="AJ142" s="26">
        <f t="shared" si="52"/>
        <v>0.42328442311674297</v>
      </c>
      <c r="AK142" s="27">
        <f t="shared" si="53"/>
        <v>251.32741228718348</v>
      </c>
      <c r="AL142" s="29">
        <f t="shared" si="54"/>
        <v>60</v>
      </c>
      <c r="AM142" s="29">
        <f t="shared" si="55"/>
        <v>1.0000000000000001E-9</v>
      </c>
      <c r="AO142" s="26">
        <f t="shared" si="56"/>
        <v>21.164221155837147</v>
      </c>
      <c r="AP142" s="27">
        <f t="shared" si="57"/>
        <v>1.5079644737231006</v>
      </c>
      <c r="AQ142" s="29">
        <f t="shared" si="58"/>
        <v>0.5</v>
      </c>
      <c r="AR142" s="29">
        <f t="shared" si="59"/>
        <v>19.662614952064569</v>
      </c>
    </row>
    <row r="143" spans="1:45" x14ac:dyDescent="0.3">
      <c r="X143" s="44">
        <v>8500000</v>
      </c>
      <c r="Y143" s="4" cm="1">
        <f t="array" ref="Y143">_xlfn.IFS(AND($C$69="Yes", $C$80="Yes"),1/((1/AH143)+(1/AM143)+(1/AR143)), AND($C$69="Yes", $C$80="No"), 1/((1/AH143)+(1/AM143)), AND($C$69="No", $C$80="Yes"), 1/((1/AH143)+(1/AR143)), AND($C$69="No", $C$80="No"), 1/(1/AH143))</f>
        <v>1.9064124647573875</v>
      </c>
      <c r="Z143" s="25">
        <f t="shared" si="46"/>
        <v>9.5231759468817092</v>
      </c>
      <c r="AA143" s="25">
        <f t="shared" si="44"/>
        <v>3.2727272727272729</v>
      </c>
      <c r="AB143" s="25">
        <f t="shared" si="47"/>
        <v>87.272727272727309</v>
      </c>
      <c r="AC143" s="25">
        <f t="shared" si="48"/>
        <v>4</v>
      </c>
      <c r="AE143" s="26">
        <f t="shared" si="49"/>
        <v>0.2845609567171381</v>
      </c>
      <c r="AF143" s="27">
        <f t="shared" si="50"/>
        <v>2.2888746476154207</v>
      </c>
      <c r="AG143" s="28">
        <f t="shared" si="51"/>
        <v>0.7142857142857143</v>
      </c>
      <c r="AH143" s="29">
        <f t="shared" si="45"/>
        <v>2.1277869849106015</v>
      </c>
      <c r="AJ143" s="26">
        <f t="shared" si="52"/>
        <v>0.3983853394039934</v>
      </c>
      <c r="AK143" s="27">
        <f t="shared" si="53"/>
        <v>267.03537555513242</v>
      </c>
      <c r="AL143" s="29">
        <f t="shared" si="54"/>
        <v>60</v>
      </c>
      <c r="AM143" s="29">
        <f t="shared" si="55"/>
        <v>1.0000000000000001E-9</v>
      </c>
      <c r="AO143" s="26">
        <f t="shared" si="56"/>
        <v>19.919266970199672</v>
      </c>
      <c r="AP143" s="27">
        <f t="shared" si="57"/>
        <v>1.6022122533307945</v>
      </c>
      <c r="AQ143" s="29">
        <f t="shared" si="58"/>
        <v>0.5</v>
      </c>
      <c r="AR143" s="29">
        <f t="shared" si="59"/>
        <v>18.323877687344687</v>
      </c>
    </row>
    <row r="144" spans="1:45" x14ac:dyDescent="0.3">
      <c r="X144" s="22">
        <v>9000000</v>
      </c>
      <c r="Y144" s="4" cm="1">
        <f t="array" ref="Y144">_xlfn.IFS(AND($C$69="Yes", $C$80="Yes"),1/((1/AH144)+(1/AM144)+(1/AR144)), AND($C$69="Yes", $C$80="No"), 1/((1/AH144)+(1/AM144)), AND($C$69="No", $C$80="Yes"), 1/((1/AH144)+(1/AR144)), AND($C$69="No", $C$80="No"), 1/(1/AH144))</f>
        <v>2.0043496603585367</v>
      </c>
      <c r="Z144" s="25">
        <f t="shared" si="46"/>
        <v>9.5231759468817092</v>
      </c>
      <c r="AA144" s="25">
        <f t="shared" si="44"/>
        <v>3.2727272727272729</v>
      </c>
      <c r="AB144" s="25">
        <f t="shared" si="47"/>
        <v>87.272727272727309</v>
      </c>
      <c r="AC144" s="25">
        <f t="shared" si="48"/>
        <v>4</v>
      </c>
      <c r="AE144" s="26">
        <f t="shared" si="49"/>
        <v>0.26875201467729709</v>
      </c>
      <c r="AF144" s="27">
        <f t="shared" si="50"/>
        <v>2.423514332769269</v>
      </c>
      <c r="AG144" s="28">
        <f t="shared" si="51"/>
        <v>0.7142857142857143</v>
      </c>
      <c r="AH144" s="29">
        <f t="shared" si="45"/>
        <v>2.2700671199552098</v>
      </c>
      <c r="AJ144" s="26">
        <f t="shared" si="52"/>
        <v>0.37625282054821596</v>
      </c>
      <c r="AK144" s="27">
        <f t="shared" si="53"/>
        <v>282.74333882308139</v>
      </c>
      <c r="AL144" s="29">
        <f t="shared" si="54"/>
        <v>60</v>
      </c>
      <c r="AM144" s="29">
        <f t="shared" si="55"/>
        <v>1.0000000000000001E-9</v>
      </c>
      <c r="AO144" s="26">
        <f t="shared" si="56"/>
        <v>18.812641027410798</v>
      </c>
      <c r="AP144" s="27">
        <f t="shared" si="57"/>
        <v>1.6964600329384882</v>
      </c>
      <c r="AQ144" s="29">
        <f t="shared" si="58"/>
        <v>0.5</v>
      </c>
      <c r="AR144" s="29">
        <f t="shared" si="59"/>
        <v>17.123482468106044</v>
      </c>
    </row>
    <row r="145" spans="24:44" x14ac:dyDescent="0.3">
      <c r="X145" s="44">
        <v>9500000</v>
      </c>
      <c r="Y145" s="4" cm="1">
        <f t="array" ref="Y145">_xlfn.IFS(AND($C$69="Yes", $C$80="Yes"),1/((1/AH145)+(1/AM145)+(1/AR145)), AND($C$69="Yes", $C$80="No"), 1/((1/AH145)+(1/AM145)), AND($C$69="No", $C$80="Yes"), 1/((1/AH145)+(1/AR145)), AND($C$69="No", $C$80="No"), 1/(1/AH145))</f>
        <v>2.0965124424517385</v>
      </c>
      <c r="Z145" s="25">
        <f t="shared" si="46"/>
        <v>9.5231759468817092</v>
      </c>
      <c r="AA145" s="25">
        <f t="shared" si="44"/>
        <v>3.2727272727272729</v>
      </c>
      <c r="AB145" s="25">
        <f t="shared" si="47"/>
        <v>87.272727272727309</v>
      </c>
      <c r="AC145" s="25">
        <f t="shared" si="48"/>
        <v>4</v>
      </c>
      <c r="AE145" s="26">
        <f t="shared" si="49"/>
        <v>0.25460717179954462</v>
      </c>
      <c r="AF145" s="27">
        <f t="shared" si="50"/>
        <v>2.5581540179231168</v>
      </c>
      <c r="AG145" s="28">
        <f t="shared" si="51"/>
        <v>0.7142857142857143</v>
      </c>
      <c r="AH145" s="29">
        <f t="shared" si="45"/>
        <v>2.4117487750423985</v>
      </c>
      <c r="AJ145" s="26">
        <f t="shared" si="52"/>
        <v>0.35645004051936252</v>
      </c>
      <c r="AK145" s="27">
        <f t="shared" si="53"/>
        <v>298.4513020910303</v>
      </c>
      <c r="AL145" s="29">
        <f t="shared" si="54"/>
        <v>60</v>
      </c>
      <c r="AM145" s="29">
        <f t="shared" si="55"/>
        <v>1.0000000000000001E-9</v>
      </c>
      <c r="AO145" s="26">
        <f t="shared" si="56"/>
        <v>17.822502025968124</v>
      </c>
      <c r="AP145" s="27">
        <f t="shared" si="57"/>
        <v>1.7907078125461819</v>
      </c>
      <c r="AQ145" s="29">
        <f t="shared" si="58"/>
        <v>0.5</v>
      </c>
      <c r="AR145" s="29">
        <f t="shared" si="59"/>
        <v>16.039589324590242</v>
      </c>
    </row>
    <row r="146" spans="24:44" x14ac:dyDescent="0.3">
      <c r="X146" s="22">
        <v>10000000</v>
      </c>
      <c r="Y146" s="4" cm="1">
        <f t="array" ref="Y146">_xlfn.IFS(AND($C$69="Yes", $C$80="Yes"),1/((1/AH146)+(1/AM146)+(1/AR146)), AND($C$69="Yes", $C$80="No"), 1/((1/AH146)+(1/AM146)), AND($C$69="No", $C$80="Yes"), 1/((1/AH146)+(1/AR146)), AND($C$69="No", $C$80="No"), 1/(1/AH146))</f>
        <v>2.1827449260522167</v>
      </c>
      <c r="Z146" s="25">
        <f t="shared" si="46"/>
        <v>9.5231759468817092</v>
      </c>
      <c r="AA146" s="25">
        <f t="shared" si="44"/>
        <v>3.2727272727272729</v>
      </c>
      <c r="AB146" s="25">
        <f t="shared" si="47"/>
        <v>87.272727272727309</v>
      </c>
      <c r="AC146" s="25">
        <f t="shared" si="48"/>
        <v>4</v>
      </c>
      <c r="AE146" s="26">
        <f t="shared" si="49"/>
        <v>0.24187681320956739</v>
      </c>
      <c r="AF146" s="27">
        <f t="shared" si="50"/>
        <v>2.692793703076966</v>
      </c>
      <c r="AG146" s="28">
        <f t="shared" si="51"/>
        <v>0.7142857142857143</v>
      </c>
      <c r="AH146" s="29">
        <f t="shared" si="45"/>
        <v>2.5528802719026866</v>
      </c>
      <c r="AJ146" s="26">
        <f t="shared" si="52"/>
        <v>0.33862753849339433</v>
      </c>
      <c r="AK146" s="27">
        <f t="shared" si="53"/>
        <v>314.15926535897933</v>
      </c>
      <c r="AL146" s="29">
        <f t="shared" si="54"/>
        <v>60</v>
      </c>
      <c r="AM146" s="29">
        <f t="shared" si="55"/>
        <v>1.0000000000000001E-9</v>
      </c>
      <c r="AO146" s="26">
        <f t="shared" si="56"/>
        <v>16.931376924669713</v>
      </c>
      <c r="AP146" s="27">
        <f t="shared" si="57"/>
        <v>1.8849555921538761</v>
      </c>
      <c r="AQ146" s="29">
        <f t="shared" si="58"/>
        <v>0.5</v>
      </c>
      <c r="AR146" s="29">
        <f t="shared" si="59"/>
        <v>15.054726663595979</v>
      </c>
    </row>
    <row r="147" spans="24:44" x14ac:dyDescent="0.3">
      <c r="X147" s="44">
        <v>15000000</v>
      </c>
      <c r="Y147" s="4" cm="1">
        <f t="array" ref="Y147">_xlfn.IFS(AND($C$69="Yes", $C$80="Yes"),1/((1/AH147)+(1/AM147)+(1/AR147)), AND($C$69="Yes", $C$80="No"), 1/((1/AH147)+(1/AM147)), AND($C$69="No", $C$80="Yes"), 1/((1/AH147)+(1/AR147)), AND($C$69="No", $C$80="No"), 1/(1/AH147))</f>
        <v>2.6910791186671128</v>
      </c>
      <c r="Z147" s="25">
        <f t="shared" si="46"/>
        <v>9.5231759468817092</v>
      </c>
      <c r="AA147" s="25">
        <f t="shared" si="44"/>
        <v>3.2727272727272729</v>
      </c>
      <c r="AB147" s="25">
        <f t="shared" si="47"/>
        <v>87.272727272727309</v>
      </c>
      <c r="AC147" s="25">
        <f t="shared" si="48"/>
        <v>4</v>
      </c>
      <c r="AE147" s="26">
        <f t="shared" si="49"/>
        <v>0.16125120880637825</v>
      </c>
      <c r="AF147" s="27">
        <f t="shared" si="50"/>
        <v>4.0391905546154483</v>
      </c>
      <c r="AG147" s="28">
        <f t="shared" si="51"/>
        <v>0.7142857142857143</v>
      </c>
      <c r="AH147" s="29">
        <f t="shared" si="45"/>
        <v>3.9431735507591763</v>
      </c>
      <c r="AJ147" s="26">
        <f t="shared" si="52"/>
        <v>0.22575169232892955</v>
      </c>
      <c r="AK147" s="27">
        <f t="shared" si="53"/>
        <v>471.23889803846896</v>
      </c>
      <c r="AL147" s="29">
        <f t="shared" si="54"/>
        <v>60</v>
      </c>
      <c r="AM147" s="29">
        <f t="shared" si="55"/>
        <v>1.0000000000000001E-9</v>
      </c>
      <c r="AO147" s="26">
        <f t="shared" si="56"/>
        <v>11.28758461644648</v>
      </c>
      <c r="AP147" s="27">
        <f t="shared" si="57"/>
        <v>2.8274333882308138</v>
      </c>
      <c r="AQ147" s="29">
        <f t="shared" si="58"/>
        <v>0.5</v>
      </c>
      <c r="AR147" s="29">
        <f t="shared" si="59"/>
        <v>8.4749134983360772</v>
      </c>
    </row>
    <row r="148" spans="24:44" x14ac:dyDescent="0.3">
      <c r="X148" s="22">
        <v>20000000</v>
      </c>
      <c r="Y148" s="4" cm="1">
        <f t="array" ref="Y148">_xlfn.IFS(AND($C$69="Yes", $C$80="Yes"),1/((1/AH148)+(1/AM148)+(1/AR148)), AND($C$69="Yes", $C$80="No"), 1/((1/AH148)+(1/AM148)), AND($C$69="No", $C$80="Yes"), 1/((1/AH148)+(1/AR148)), AND($C$69="No", $C$80="No"), 1/(1/AH148))</f>
        <v>2.5001129100335651</v>
      </c>
      <c r="Z148" s="25">
        <f t="shared" si="46"/>
        <v>9.5231759468817092</v>
      </c>
      <c r="AA148" s="25">
        <f t="shared" si="44"/>
        <v>3.2727272727272729</v>
      </c>
      <c r="AB148" s="25">
        <f t="shared" si="47"/>
        <v>87.272727272727309</v>
      </c>
      <c r="AC148" s="25">
        <f t="shared" si="48"/>
        <v>4</v>
      </c>
      <c r="AE148" s="26">
        <f t="shared" si="49"/>
        <v>0.12093840660478369</v>
      </c>
      <c r="AF148" s="27">
        <f t="shared" si="50"/>
        <v>5.3855874061539319</v>
      </c>
      <c r="AG148" s="28">
        <f t="shared" si="51"/>
        <v>0.7142857142857143</v>
      </c>
      <c r="AH148" s="29">
        <f t="shared" si="45"/>
        <v>5.3128836962695223</v>
      </c>
      <c r="AJ148" s="26">
        <f t="shared" si="52"/>
        <v>0.16931376924669717</v>
      </c>
      <c r="AK148" s="27">
        <f t="shared" si="53"/>
        <v>628.31853071795865</v>
      </c>
      <c r="AL148" s="29">
        <f t="shared" si="54"/>
        <v>60</v>
      </c>
      <c r="AM148" s="29">
        <f t="shared" si="55"/>
        <v>1.0000000000000001E-9</v>
      </c>
      <c r="AO148" s="26">
        <f t="shared" si="56"/>
        <v>8.4656884623348567</v>
      </c>
      <c r="AP148" s="27">
        <f t="shared" si="57"/>
        <v>3.7699111843077522</v>
      </c>
      <c r="AQ148" s="29">
        <f t="shared" si="58"/>
        <v>0.5</v>
      </c>
      <c r="AR148" s="29">
        <f t="shared" si="59"/>
        <v>4.7223219124532001</v>
      </c>
    </row>
    <row r="149" spans="24:44" x14ac:dyDescent="0.3">
      <c r="X149" s="44">
        <v>25000000</v>
      </c>
      <c r="Y149" s="4" cm="1">
        <f t="array" ref="Y149">_xlfn.IFS(AND($C$69="Yes", $C$80="Yes"),1/((1/AH149)+(1/AM149)+(1/AR149)), AND($C$69="Yes", $C$80="No"), 1/((1/AH149)+(1/AM149)), AND($C$69="No", $C$80="Yes"), 1/((1/AH149)+(1/AR149)), AND($C$69="No", $C$80="No"), 1/(1/AH149))</f>
        <v>1.6088811174436706</v>
      </c>
      <c r="Z149" s="25">
        <f t="shared" si="46"/>
        <v>9.5231759468817092</v>
      </c>
      <c r="AA149" s="25">
        <f t="shared" si="44"/>
        <v>3.2727272727272729</v>
      </c>
      <c r="AB149" s="25">
        <f t="shared" si="47"/>
        <v>87.272727272727309</v>
      </c>
      <c r="AC149" s="25">
        <f t="shared" si="48"/>
        <v>4</v>
      </c>
      <c r="AE149" s="26">
        <f t="shared" si="49"/>
        <v>9.6750725283826958E-2</v>
      </c>
      <c r="AF149" s="27">
        <f t="shared" si="50"/>
        <v>6.7319842576924129</v>
      </c>
      <c r="AG149" s="28">
        <f t="shared" si="51"/>
        <v>0.7142857142857143</v>
      </c>
      <c r="AH149" s="29">
        <f t="shared" si="45"/>
        <v>6.6735693681291703</v>
      </c>
      <c r="AJ149" s="26">
        <f t="shared" si="52"/>
        <v>0.13545101539735777</v>
      </c>
      <c r="AK149" s="27">
        <f t="shared" si="53"/>
        <v>785.39816339744823</v>
      </c>
      <c r="AL149" s="29">
        <f t="shared" si="54"/>
        <v>60</v>
      </c>
      <c r="AM149" s="29">
        <f t="shared" si="55"/>
        <v>1.0000000000000001E-9</v>
      </c>
      <c r="AO149" s="26">
        <f t="shared" si="56"/>
        <v>6.7725507698678875</v>
      </c>
      <c r="AP149" s="27">
        <f t="shared" si="57"/>
        <v>4.7123889803846888</v>
      </c>
      <c r="AQ149" s="29">
        <f t="shared" si="58"/>
        <v>0.5</v>
      </c>
      <c r="AR149" s="29">
        <f t="shared" si="59"/>
        <v>2.1199685372303558</v>
      </c>
    </row>
    <row r="150" spans="24:44" x14ac:dyDescent="0.3">
      <c r="X150" s="22">
        <v>30000000</v>
      </c>
      <c r="Y150" s="4" cm="1">
        <f t="array" ref="Y150">_xlfn.IFS(AND($C$69="Yes", $C$80="Yes"),1/((1/AH150)+(1/AM150)+(1/AR150)), AND($C$69="Yes", $C$80="No"), 1/((1/AH150)+(1/AM150)), AND($C$69="No", $C$80="Yes"), 1/((1/AH150)+(1/AR150)), AND($C$69="No", $C$80="No"), 1/(1/AH150))</f>
        <v>0.47079893547044821</v>
      </c>
      <c r="Z150" s="25">
        <f t="shared" si="46"/>
        <v>9.5231759468817092</v>
      </c>
      <c r="AA150" s="25">
        <f t="shared" si="44"/>
        <v>3.2727272727272729</v>
      </c>
      <c r="AB150" s="25">
        <f t="shared" si="47"/>
        <v>87.272727272727309</v>
      </c>
      <c r="AC150" s="25">
        <f t="shared" si="48"/>
        <v>4</v>
      </c>
      <c r="AE150" s="26">
        <f t="shared" si="49"/>
        <v>8.0625604403189124E-2</v>
      </c>
      <c r="AF150" s="27">
        <f t="shared" si="50"/>
        <v>8.0783811092308966</v>
      </c>
      <c r="AG150" s="28">
        <f t="shared" si="51"/>
        <v>0.7142857142857143</v>
      </c>
      <c r="AH150" s="29">
        <f t="shared" si="45"/>
        <v>8.0295888560146427</v>
      </c>
      <c r="AJ150" s="26">
        <f t="shared" si="52"/>
        <v>0.11287584616446478</v>
      </c>
      <c r="AK150" s="27">
        <f t="shared" si="53"/>
        <v>942.47779607693792</v>
      </c>
      <c r="AL150" s="29">
        <f t="shared" si="54"/>
        <v>60</v>
      </c>
      <c r="AM150" s="29">
        <f t="shared" si="55"/>
        <v>1.0000000000000001E-9</v>
      </c>
      <c r="AO150" s="26">
        <f t="shared" si="56"/>
        <v>5.6437923082232402</v>
      </c>
      <c r="AP150" s="27">
        <f t="shared" si="57"/>
        <v>5.6548667764616276</v>
      </c>
      <c r="AQ150" s="29">
        <f t="shared" si="58"/>
        <v>0.5</v>
      </c>
      <c r="AR150" s="29">
        <f t="shared" si="59"/>
        <v>0.50012262880893821</v>
      </c>
    </row>
    <row r="151" spans="24:44" x14ac:dyDescent="0.3">
      <c r="X151" s="44">
        <v>35000000</v>
      </c>
      <c r="Y151" s="4" cm="1">
        <f t="array" ref="Y151">_xlfn.IFS(AND($C$69="Yes", $C$80="Yes"),1/((1/AH151)+(1/AM151)+(1/AR151)), AND($C$69="Yes", $C$80="No"), 1/((1/AH151)+(1/AM151)), AND($C$69="No", $C$80="Yes"), 1/((1/AH151)+(1/AR151)), AND($C$69="No", $C$80="No"), 1/(1/AH151))</f>
        <v>1.5309571363039485</v>
      </c>
      <c r="Z151" s="25">
        <f t="shared" si="46"/>
        <v>9.5231759468817092</v>
      </c>
      <c r="AA151" s="25">
        <f t="shared" si="44"/>
        <v>3.2727272727272729</v>
      </c>
      <c r="AB151" s="25">
        <f t="shared" si="47"/>
        <v>87.272727272727309</v>
      </c>
      <c r="AC151" s="25">
        <f t="shared" si="48"/>
        <v>4</v>
      </c>
      <c r="AE151" s="26">
        <f t="shared" si="49"/>
        <v>6.9107660917019254E-2</v>
      </c>
      <c r="AF151" s="27">
        <f t="shared" si="50"/>
        <v>9.4247779607693793</v>
      </c>
      <c r="AG151" s="28">
        <f t="shared" si="51"/>
        <v>0.7142857142857143</v>
      </c>
      <c r="AH151" s="29">
        <f t="shared" si="45"/>
        <v>9.3828977848622106</v>
      </c>
      <c r="AJ151" s="26">
        <f t="shared" si="52"/>
        <v>9.6750725283826958E-2</v>
      </c>
      <c r="AK151" s="27">
        <f t="shared" si="53"/>
        <v>1099.5574287564275</v>
      </c>
      <c r="AL151" s="29">
        <f t="shared" si="54"/>
        <v>60</v>
      </c>
      <c r="AM151" s="29">
        <f t="shared" si="55"/>
        <v>1.0000000000000001E-9</v>
      </c>
      <c r="AO151" s="26">
        <f t="shared" si="56"/>
        <v>4.837536264191348</v>
      </c>
      <c r="AP151" s="27">
        <f t="shared" si="57"/>
        <v>6.5973445725385655</v>
      </c>
      <c r="AQ151" s="29">
        <f t="shared" si="58"/>
        <v>0.5</v>
      </c>
      <c r="AR151" s="29">
        <f t="shared" si="59"/>
        <v>1.8294603800377573</v>
      </c>
    </row>
    <row r="152" spans="24:44" x14ac:dyDescent="0.3">
      <c r="X152" s="22">
        <v>40000000</v>
      </c>
      <c r="Y152" s="4" cm="1">
        <f t="array" ref="Y152">_xlfn.IFS(AND($C$69="Yes", $C$80="Yes"),1/((1/AH152)+(1/AM152)+(1/AR152)), AND($C$69="Yes", $C$80="No"), 1/((1/AH152)+(1/AM152)), AND($C$69="No", $C$80="Yes"), 1/((1/AH152)+(1/AR152)), AND($C$69="No", $C$80="No"), 1/(1/AH152))</f>
        <v>2.5500427286769201</v>
      </c>
      <c r="Z152" s="25">
        <f t="shared" si="46"/>
        <v>9.5231759468817092</v>
      </c>
      <c r="AA152" s="25">
        <f t="shared" si="44"/>
        <v>3.2727272727272729</v>
      </c>
      <c r="AB152" s="25">
        <f t="shared" si="47"/>
        <v>87.272727272727309</v>
      </c>
      <c r="AC152" s="25">
        <f t="shared" si="48"/>
        <v>4</v>
      </c>
      <c r="AE152" s="26">
        <f t="shared" si="49"/>
        <v>6.0469203302391847E-2</v>
      </c>
      <c r="AF152" s="27">
        <f t="shared" si="50"/>
        <v>10.771174812307864</v>
      </c>
      <c r="AG152" s="28">
        <f t="shared" si="51"/>
        <v>0.7142857142857143</v>
      </c>
      <c r="AH152" s="29">
        <f t="shared" si="45"/>
        <v>10.734496668424372</v>
      </c>
      <c r="AJ152" s="26">
        <f t="shared" si="52"/>
        <v>8.4656884623348583E-2</v>
      </c>
      <c r="AK152" s="27">
        <f t="shared" si="53"/>
        <v>1256.6370614359173</v>
      </c>
      <c r="AL152" s="29">
        <f t="shared" si="54"/>
        <v>60</v>
      </c>
      <c r="AM152" s="29">
        <f t="shared" si="55"/>
        <v>1.0000000000000001E-9</v>
      </c>
      <c r="AO152" s="26">
        <f t="shared" si="56"/>
        <v>4.2328442311674284</v>
      </c>
      <c r="AP152" s="27">
        <f t="shared" si="57"/>
        <v>7.5398223686155044</v>
      </c>
      <c r="AQ152" s="29">
        <f t="shared" si="58"/>
        <v>0.5</v>
      </c>
      <c r="AR152" s="29">
        <f t="shared" si="59"/>
        <v>3.3445634097082904</v>
      </c>
    </row>
    <row r="153" spans="24:44" x14ac:dyDescent="0.3">
      <c r="X153" s="44">
        <v>45000000</v>
      </c>
      <c r="Y153" s="4" cm="1">
        <f t="array" ref="Y153">_xlfn.IFS(AND($C$69="Yes", $C$80="Yes"),1/((1/AH153)+(1/AM153)+(1/AR153)), AND($C$69="Yes", $C$80="No"), 1/((1/AH153)+(1/AM153)), AND($C$69="No", $C$80="Yes"), 1/((1/AH153)+(1/AR153)), AND($C$69="No", $C$80="No"), 1/(1/AH153))</f>
        <v>3.4078144001735069</v>
      </c>
      <c r="Z153" s="25">
        <f t="shared" si="46"/>
        <v>9.5231759468817092</v>
      </c>
      <c r="AA153" s="25">
        <f t="shared" si="44"/>
        <v>3.2727272727272729</v>
      </c>
      <c r="AB153" s="25">
        <f t="shared" si="47"/>
        <v>87.272727272727309</v>
      </c>
      <c r="AC153" s="25">
        <f t="shared" si="48"/>
        <v>4</v>
      </c>
      <c r="AE153" s="26">
        <f t="shared" si="49"/>
        <v>5.3750402935459421E-2</v>
      </c>
      <c r="AF153" s="27">
        <f t="shared" si="50"/>
        <v>12.117571663846345</v>
      </c>
      <c r="AG153" s="28">
        <f t="shared" si="51"/>
        <v>0.7142857142857143</v>
      </c>
      <c r="AH153" s="29">
        <f t="shared" si="45"/>
        <v>12.084948799926218</v>
      </c>
      <c r="AJ153" s="26">
        <f t="shared" si="52"/>
        <v>7.5250564109643189E-2</v>
      </c>
      <c r="AK153" s="27">
        <f t="shared" si="53"/>
        <v>1413.7166941154069</v>
      </c>
      <c r="AL153" s="29">
        <f t="shared" si="54"/>
        <v>60</v>
      </c>
      <c r="AM153" s="29">
        <f t="shared" si="55"/>
        <v>1.0000000000000001E-9</v>
      </c>
      <c r="AO153" s="26">
        <f t="shared" si="56"/>
        <v>3.7625282054821594</v>
      </c>
      <c r="AP153" s="27">
        <f t="shared" si="57"/>
        <v>8.4823001646924414</v>
      </c>
      <c r="AQ153" s="29">
        <f t="shared" si="58"/>
        <v>0.5</v>
      </c>
      <c r="AR153" s="29">
        <f t="shared" si="59"/>
        <v>4.7461823971427464</v>
      </c>
    </row>
    <row r="154" spans="24:44" x14ac:dyDescent="0.3">
      <c r="X154" s="22">
        <v>50000000</v>
      </c>
      <c r="Y154" s="4" cm="1">
        <f t="array" ref="Y154">_xlfn.IFS(AND($C$69="Yes", $C$80="Yes"),1/((1/AH154)+(1/AM154)+(1/AR154)), AND($C$69="Yes", $C$80="No"), 1/((1/AH154)+(1/AM154)), AND($C$69="No", $C$80="Yes"), 1/((1/AH154)+(1/AR154)), AND($C$69="No", $C$80="No"), 1/(1/AH154))</f>
        <v>4.1758210311248121</v>
      </c>
      <c r="Z154" s="25">
        <f t="shared" si="46"/>
        <v>9.5231759468817092</v>
      </c>
      <c r="AA154" s="25">
        <f t="shared" si="44"/>
        <v>3.2727272727272729</v>
      </c>
      <c r="AB154" s="25">
        <f t="shared" si="47"/>
        <v>87.272727272727309</v>
      </c>
      <c r="AC154" s="25">
        <f t="shared" si="48"/>
        <v>4</v>
      </c>
      <c r="AE154" s="26">
        <f t="shared" si="49"/>
        <v>4.8375362641913479E-2</v>
      </c>
      <c r="AF154" s="27">
        <f t="shared" si="50"/>
        <v>13.463968515384826</v>
      </c>
      <c r="AG154" s="28">
        <f t="shared" si="51"/>
        <v>0.7142857142857143</v>
      </c>
      <c r="AH154" s="29">
        <f t="shared" si="45"/>
        <v>13.434595033775866</v>
      </c>
      <c r="AJ154" s="26">
        <f t="shared" si="52"/>
        <v>6.7725507698678883E-2</v>
      </c>
      <c r="AK154" s="27">
        <f t="shared" si="53"/>
        <v>1570.7963267948965</v>
      </c>
      <c r="AL154" s="29">
        <f t="shared" si="54"/>
        <v>60</v>
      </c>
      <c r="AM154" s="29">
        <f t="shared" si="55"/>
        <v>1.0000000000000001E-9</v>
      </c>
      <c r="AO154" s="26">
        <f t="shared" si="56"/>
        <v>3.3862753849339438</v>
      </c>
      <c r="AP154" s="27">
        <f t="shared" si="57"/>
        <v>9.4247779607693776</v>
      </c>
      <c r="AQ154" s="29">
        <f t="shared" si="58"/>
        <v>0.5</v>
      </c>
      <c r="AR154" s="29">
        <f t="shared" si="59"/>
        <v>6.0591677116887235</v>
      </c>
    </row>
    <row r="155" spans="24:44" x14ac:dyDescent="0.3">
      <c r="X155" s="44">
        <v>55000000</v>
      </c>
      <c r="Y155" s="4" cm="1">
        <f t="array" ref="Y155">_xlfn.IFS(AND($C$69="Yes", $C$80="Yes"),1/((1/AH155)+(1/AM155)+(1/AR155)), AND($C$69="Yes", $C$80="No"), 1/((1/AH155)+(1/AM155)), AND($C$69="No", $C$80="Yes"), 1/((1/AH155)+(1/AR155)), AND($C$69="No", $C$80="No"), 1/(1/AH155))</f>
        <v>4.889570022835251</v>
      </c>
      <c r="Z155" s="25">
        <f t="shared" si="46"/>
        <v>9.5231759468817092</v>
      </c>
      <c r="AA155" s="25">
        <f t="shared" si="44"/>
        <v>3.2727272727272729</v>
      </c>
      <c r="AB155" s="25">
        <f t="shared" si="47"/>
        <v>87.272727272727309</v>
      </c>
      <c r="AC155" s="25">
        <f t="shared" si="48"/>
        <v>4</v>
      </c>
      <c r="AE155" s="26">
        <f t="shared" si="49"/>
        <v>4.3977602401739528E-2</v>
      </c>
      <c r="AF155" s="27">
        <f t="shared" si="50"/>
        <v>14.810365366923312</v>
      </c>
      <c r="AG155" s="28">
        <f t="shared" si="51"/>
        <v>0.7142857142857143</v>
      </c>
      <c r="AH155" s="29">
        <f t="shared" si="45"/>
        <v>14.783653529958183</v>
      </c>
      <c r="AJ155" s="26">
        <f t="shared" si="52"/>
        <v>6.1568643362435338E-2</v>
      </c>
      <c r="AK155" s="27">
        <f t="shared" si="53"/>
        <v>1727.8759594743863</v>
      </c>
      <c r="AL155" s="29">
        <f t="shared" si="54"/>
        <v>60</v>
      </c>
      <c r="AM155" s="29">
        <f t="shared" si="55"/>
        <v>1.0000000000000001E-9</v>
      </c>
      <c r="AO155" s="26">
        <f t="shared" si="56"/>
        <v>3.078432168121767</v>
      </c>
      <c r="AP155" s="27">
        <f t="shared" si="57"/>
        <v>10.367255756846317</v>
      </c>
      <c r="AQ155" s="29">
        <f t="shared" si="58"/>
        <v>0.5</v>
      </c>
      <c r="AR155" s="29">
        <f t="shared" si="59"/>
        <v>7.3059530047453389</v>
      </c>
    </row>
    <row r="156" spans="24:44" x14ac:dyDescent="0.3">
      <c r="X156" s="22">
        <v>60000000</v>
      </c>
      <c r="Y156" s="4" cm="1">
        <f t="array" ref="Y156">_xlfn.IFS(AND($C$69="Yes", $C$80="Yes"),1/((1/AH156)+(1/AM156)+(1/AR156)), AND($C$69="Yes", $C$80="No"), 1/((1/AH156)+(1/AM156)), AND($C$69="No", $C$80="Yes"), 1/((1/AH156)+(1/AR156)), AND($C$69="No", $C$80="No"), 1/(1/AH156))</f>
        <v>5.5679501675519258</v>
      </c>
      <c r="Z156" s="25">
        <f t="shared" si="46"/>
        <v>9.5231759468817092</v>
      </c>
      <c r="AA156" s="25">
        <f t="shared" si="44"/>
        <v>3.2727272727272729</v>
      </c>
      <c r="AB156" s="25">
        <f t="shared" si="47"/>
        <v>87.272727272727309</v>
      </c>
      <c r="AC156" s="25">
        <f t="shared" si="48"/>
        <v>4</v>
      </c>
      <c r="AE156" s="26">
        <f t="shared" si="49"/>
        <v>4.0312802201594562E-2</v>
      </c>
      <c r="AF156" s="27">
        <f t="shared" si="50"/>
        <v>16.156762218461793</v>
      </c>
      <c r="AG156" s="28">
        <f t="shared" si="51"/>
        <v>0.7142857142857143</v>
      </c>
      <c r="AH156" s="29">
        <f t="shared" si="45"/>
        <v>16.13227032591837</v>
      </c>
      <c r="AJ156" s="26">
        <f t="shared" si="52"/>
        <v>5.6437923082232389E-2</v>
      </c>
      <c r="AK156" s="27">
        <f t="shared" si="53"/>
        <v>1884.9555921538758</v>
      </c>
      <c r="AL156" s="29">
        <f t="shared" si="54"/>
        <v>60</v>
      </c>
      <c r="AM156" s="29">
        <f t="shared" si="55"/>
        <v>1.0000000000000001E-9</v>
      </c>
      <c r="AO156" s="26">
        <f t="shared" si="56"/>
        <v>2.8218961541116201</v>
      </c>
      <c r="AP156" s="27">
        <f t="shared" si="57"/>
        <v>11.309733552923255</v>
      </c>
      <c r="AQ156" s="29">
        <f t="shared" si="58"/>
        <v>0.5</v>
      </c>
      <c r="AR156" s="29">
        <f t="shared" si="59"/>
        <v>8.5025515998825583</v>
      </c>
    </row>
    <row r="157" spans="24:44" x14ac:dyDescent="0.3">
      <c r="X157" s="44">
        <v>65000000</v>
      </c>
      <c r="Y157" s="4" cm="1">
        <f t="array" ref="Y157">_xlfn.IFS(AND($C$69="Yes", $C$80="Yes"),1/((1/AH157)+(1/AM157)+(1/AR157)), AND($C$69="Yes", $C$80="No"), 1/((1/AH157)+(1/AM157)), AND($C$69="No", $C$80="Yes"), 1/((1/AH157)+(1/AR157)), AND($C$69="No", $C$80="No"), 1/(1/AH157))</f>
        <v>6.2219020464435557</v>
      </c>
      <c r="Z157" s="25">
        <f t="shared" ref="Z157:Z182" si="60">$C$49</f>
        <v>9.5231759468817092</v>
      </c>
      <c r="AA157" s="25">
        <f t="shared" si="44"/>
        <v>3.2727272727272729</v>
      </c>
      <c r="AB157" s="25">
        <f t="shared" ref="AB157:AB182" si="61">$C$53</f>
        <v>87.272727272727309</v>
      </c>
      <c r="AC157" s="25">
        <f t="shared" ref="AC157:AC182" si="62">$C$57</f>
        <v>4</v>
      </c>
      <c r="AE157" s="26">
        <f t="shared" ref="AE157:AE182" si="63">1000/(2*PI()*$X157*$C$62*$C$59*0.000001)</f>
        <v>3.7211817416856523E-2</v>
      </c>
      <c r="AF157" s="27">
        <f t="shared" ref="AF157:AF182" si="64">2*PI()*$X157*((0.000000001*$C$61)/$C$62)*1000</f>
        <v>17.503159070000272</v>
      </c>
      <c r="AG157" s="28">
        <f t="shared" ref="AG157:AG182" si="65">($C$60)/$C$62</f>
        <v>0.7142857142857143</v>
      </c>
      <c r="AH157" s="29">
        <f t="shared" si="45"/>
        <v>17.48054683102502</v>
      </c>
      <c r="AJ157" s="26">
        <f t="shared" ref="AJ157:AJ182" si="66">1000/(2*PI()*$X157*$C$73*$C$70*0.000001)</f>
        <v>5.2096544383599133E-2</v>
      </c>
      <c r="AK157" s="27">
        <f t="shared" ref="AK157:AK182" si="67">2*PI()*$X157*((0.000000001*$C$72)/$C$73)*1000</f>
        <v>2042.0352248333654</v>
      </c>
      <c r="AL157" s="29">
        <f t="shared" ref="AL157:AL182" si="68">($C$71)/$C$73</f>
        <v>60</v>
      </c>
      <c r="AM157" s="29">
        <f t="shared" ref="AM157:AM182" si="69">IF($C$69="Yes", SQRT(AL157^(2)+ABS(AJ157-AK157)^(2)), 0.000000001)</f>
        <v>1.0000000000000001E-9</v>
      </c>
      <c r="AO157" s="26">
        <f t="shared" ref="AO157:AO182" si="70">1000/(2*PI()*$X157*$C$84*$C$81*0.000001)</f>
        <v>2.6048272191799566</v>
      </c>
      <c r="AP157" s="27">
        <f t="shared" ref="AP157:AP182" si="71">2*PI()*$X157*((0.000000001*$C$83)/$C$84)*1000</f>
        <v>12.252211349000193</v>
      </c>
      <c r="AQ157" s="29">
        <f t="shared" ref="AQ157:AQ182" si="72">($C$82)/$C$84</f>
        <v>0.5</v>
      </c>
      <c r="AR157" s="29">
        <f t="shared" ref="AR157:AR182" si="73">IF($C$80="Yes", SQRT(AQ157^(2)+ABS(AO157-AP157)^(2)), 0.000000001)</f>
        <v>9.6603323208007374</v>
      </c>
    </row>
    <row r="158" spans="24:44" x14ac:dyDescent="0.3">
      <c r="X158" s="22">
        <v>70000000</v>
      </c>
      <c r="Y158" s="4" cm="1">
        <f t="array" ref="Y158">_xlfn.IFS(AND($C$69="Yes", $C$80="Yes"),1/((1/AH158)+(1/AM158)+(1/AR158)), AND($C$69="Yes", $C$80="No"), 1/((1/AH158)+(1/AM158)), AND($C$69="No", $C$80="Yes"), 1/((1/AH158)+(1/AR158)), AND($C$69="No", $C$80="No"), 1/(1/AH158))</f>
        <v>6.8582130781186468</v>
      </c>
      <c r="Z158" s="25">
        <f t="shared" si="60"/>
        <v>9.5231759468817092</v>
      </c>
      <c r="AA158" s="25">
        <f t="shared" ref="AA158:AA182" si="74">$C$47</f>
        <v>3.2727272727272729</v>
      </c>
      <c r="AB158" s="25">
        <f t="shared" si="61"/>
        <v>87.272727272727309</v>
      </c>
      <c r="AC158" s="25">
        <f t="shared" si="62"/>
        <v>4</v>
      </c>
      <c r="AE158" s="26">
        <f t="shared" si="63"/>
        <v>3.4553830458509627E-2</v>
      </c>
      <c r="AF158" s="27">
        <f t="shared" si="64"/>
        <v>18.849555921538759</v>
      </c>
      <c r="AG158" s="28">
        <f t="shared" si="65"/>
        <v>0.7142857142857143</v>
      </c>
      <c r="AH158" s="29">
        <f t="shared" ref="AH158:AH182" si="75">SQRT(AG158^(2)+ABS(AE158-AF158)^(2))</f>
        <v>18.828555647446429</v>
      </c>
      <c r="AJ158" s="26">
        <f t="shared" si="66"/>
        <v>4.8375362641913479E-2</v>
      </c>
      <c r="AK158" s="27">
        <f t="shared" si="67"/>
        <v>2199.114857512855</v>
      </c>
      <c r="AL158" s="29">
        <f t="shared" si="68"/>
        <v>60</v>
      </c>
      <c r="AM158" s="29">
        <f t="shared" si="69"/>
        <v>1.0000000000000001E-9</v>
      </c>
      <c r="AO158" s="26">
        <f t="shared" si="70"/>
        <v>2.418768132095674</v>
      </c>
      <c r="AP158" s="27">
        <f t="shared" si="71"/>
        <v>13.194689145077131</v>
      </c>
      <c r="AQ158" s="29">
        <f t="shared" si="72"/>
        <v>0.5</v>
      </c>
      <c r="AR158" s="29">
        <f t="shared" si="73"/>
        <v>10.787514712760084</v>
      </c>
    </row>
    <row r="159" spans="24:44" x14ac:dyDescent="0.3">
      <c r="X159" s="44">
        <v>75000000</v>
      </c>
      <c r="Y159" s="4" cm="1">
        <f t="array" ref="Y159">_xlfn.IFS(AND($C$69="Yes", $C$80="Yes"),1/((1/AH159)+(1/AM159)+(1/AR159)), AND($C$69="Yes", $C$80="No"), 1/((1/AH159)+(1/AM159)), AND($C$69="No", $C$80="Yes"), 1/((1/AH159)+(1/AR159)), AND($C$69="No", $C$80="No"), 1/(1/AH159))</f>
        <v>7.4813294666126344</v>
      </c>
      <c r="Z159" s="25">
        <f t="shared" si="60"/>
        <v>9.5231759468817092</v>
      </c>
      <c r="AA159" s="25">
        <f t="shared" si="74"/>
        <v>3.2727272727272729</v>
      </c>
      <c r="AB159" s="25">
        <f t="shared" si="61"/>
        <v>87.272727272727309</v>
      </c>
      <c r="AC159" s="25">
        <f t="shared" si="62"/>
        <v>4</v>
      </c>
      <c r="AE159" s="26">
        <f t="shared" si="63"/>
        <v>3.2250241761275653E-2</v>
      </c>
      <c r="AF159" s="27">
        <f t="shared" si="64"/>
        <v>20.195952773077241</v>
      </c>
      <c r="AG159" s="28">
        <f t="shared" si="65"/>
        <v>0.7142857142857143</v>
      </c>
      <c r="AH159" s="29">
        <f t="shared" si="75"/>
        <v>20.176350112273294</v>
      </c>
      <c r="AJ159" s="26">
        <f t="shared" si="66"/>
        <v>4.5150338465785915E-2</v>
      </c>
      <c r="AK159" s="27">
        <f t="shared" si="67"/>
        <v>2356.1944901923448</v>
      </c>
      <c r="AL159" s="29">
        <f t="shared" si="68"/>
        <v>60</v>
      </c>
      <c r="AM159" s="29">
        <f t="shared" si="69"/>
        <v>1.0000000000000001E-9</v>
      </c>
      <c r="AO159" s="26">
        <f t="shared" si="70"/>
        <v>2.257516923289296</v>
      </c>
      <c r="AP159" s="27">
        <f t="shared" si="71"/>
        <v>14.137166941154069</v>
      </c>
      <c r="AQ159" s="29">
        <f t="shared" si="72"/>
        <v>0.5</v>
      </c>
      <c r="AR159" s="29">
        <f t="shared" si="73"/>
        <v>11.890167557564297</v>
      </c>
    </row>
    <row r="160" spans="24:44" x14ac:dyDescent="0.3">
      <c r="X160" s="22">
        <v>80000000</v>
      </c>
      <c r="Y160" s="4" cm="1">
        <f t="array" ref="Y160">_xlfn.IFS(AND($C$69="Yes", $C$80="Yes"),1/((1/AH160)+(1/AM160)+(1/AR160)), AND($C$69="Yes", $C$80="No"), 1/((1/AH160)+(1/AM160)), AND($C$69="No", $C$80="Yes"), 1/((1/AH160)+(1/AR160)), AND($C$69="No", $C$80="No"), 1/(1/AH160))</f>
        <v>8.0942936989567293</v>
      </c>
      <c r="Z160" s="25">
        <f t="shared" si="60"/>
        <v>9.5231759468817092</v>
      </c>
      <c r="AA160" s="25">
        <f t="shared" si="74"/>
        <v>3.2727272727272729</v>
      </c>
      <c r="AB160" s="25">
        <f t="shared" si="61"/>
        <v>87.272727272727309</v>
      </c>
      <c r="AC160" s="25">
        <f t="shared" si="62"/>
        <v>4</v>
      </c>
      <c r="AE160" s="26">
        <f t="shared" si="63"/>
        <v>3.0234601651195923E-2</v>
      </c>
      <c r="AF160" s="27">
        <f t="shared" si="64"/>
        <v>21.542349624615728</v>
      </c>
      <c r="AG160" s="28">
        <f t="shared" si="65"/>
        <v>0.7142857142857143</v>
      </c>
      <c r="AH160" s="29">
        <f t="shared" si="75"/>
        <v>21.523970285309563</v>
      </c>
      <c r="AJ160" s="26">
        <f t="shared" si="66"/>
        <v>4.2328442311674291E-2</v>
      </c>
      <c r="AK160" s="27">
        <f t="shared" si="67"/>
        <v>2513.2741228718346</v>
      </c>
      <c r="AL160" s="29">
        <f t="shared" si="68"/>
        <v>60</v>
      </c>
      <c r="AM160" s="29">
        <f t="shared" si="69"/>
        <v>1.0000000000000001E-9</v>
      </c>
      <c r="AO160" s="26">
        <f t="shared" si="70"/>
        <v>2.1164221155837142</v>
      </c>
      <c r="AP160" s="27">
        <f t="shared" si="71"/>
        <v>15.079644737231009</v>
      </c>
      <c r="AQ160" s="29">
        <f t="shared" si="72"/>
        <v>0.5</v>
      </c>
      <c r="AR160" s="29">
        <f t="shared" si="73"/>
        <v>12.972861701968002</v>
      </c>
    </row>
    <row r="161" spans="24:44" x14ac:dyDescent="0.3">
      <c r="X161" s="44">
        <v>85000000</v>
      </c>
      <c r="Y161" s="4" cm="1">
        <f t="array" ref="Y161">_xlfn.IFS(AND($C$69="Yes", $C$80="Yes"),1/((1/AH161)+(1/AM161)+(1/AR161)), AND($C$69="Yes", $C$80="No"), 1/((1/AH161)+(1/AM161)), AND($C$69="No", $C$80="Yes"), 1/((1/AH161)+(1/AR161)), AND($C$69="No", $C$80="No"), 1/(1/AH161))</f>
        <v>8.6992632271947734</v>
      </c>
      <c r="Z161" s="25">
        <f t="shared" si="60"/>
        <v>9.5231759468817092</v>
      </c>
      <c r="AA161" s="25">
        <f t="shared" si="74"/>
        <v>3.2727272727272729</v>
      </c>
      <c r="AB161" s="25">
        <f t="shared" si="61"/>
        <v>87.272727272727309</v>
      </c>
      <c r="AC161" s="25">
        <f t="shared" si="62"/>
        <v>4</v>
      </c>
      <c r="AE161" s="26">
        <f t="shared" si="63"/>
        <v>2.8456095671713807E-2</v>
      </c>
      <c r="AF161" s="27">
        <f t="shared" si="64"/>
        <v>22.888746476154207</v>
      </c>
      <c r="AG161" s="28">
        <f t="shared" si="65"/>
        <v>0.7142857142857143</v>
      </c>
      <c r="AH161" s="29">
        <f t="shared" si="75"/>
        <v>22.871446835773487</v>
      </c>
      <c r="AJ161" s="26">
        <f t="shared" si="66"/>
        <v>3.9838533940399337E-2</v>
      </c>
      <c r="AK161" s="27">
        <f t="shared" si="67"/>
        <v>2670.353755551324</v>
      </c>
      <c r="AL161" s="29">
        <f t="shared" si="68"/>
        <v>60</v>
      </c>
      <c r="AM161" s="29">
        <f t="shared" si="69"/>
        <v>1.0000000000000001E-9</v>
      </c>
      <c r="AO161" s="26">
        <f t="shared" si="70"/>
        <v>1.9919266970199669</v>
      </c>
      <c r="AP161" s="27">
        <f t="shared" si="71"/>
        <v>16.022122533307947</v>
      </c>
      <c r="AQ161" s="29">
        <f t="shared" si="72"/>
        <v>0.5</v>
      </c>
      <c r="AR161" s="29">
        <f t="shared" si="73"/>
        <v>14.039102364631171</v>
      </c>
    </row>
    <row r="162" spans="24:44" x14ac:dyDescent="0.3">
      <c r="X162" s="22">
        <v>90000000</v>
      </c>
      <c r="Y162" s="4" cm="1">
        <f t="array" ref="Y162">_xlfn.IFS(AND($C$69="Yes", $C$80="Yes"),1/((1/AH162)+(1/AM162)+(1/AR162)), AND($C$69="Yes", $C$80="No"), 1/((1/AH162)+(1/AM162)), AND($C$69="No", $C$80="Yes"), 1/((1/AH162)+(1/AR162)), AND($C$69="No", $C$80="No"), 1/(1/AH162))</f>
        <v>9.2978138133410742</v>
      </c>
      <c r="Z162" s="25">
        <f t="shared" si="60"/>
        <v>9.5231759468817092</v>
      </c>
      <c r="AA162" s="25">
        <f t="shared" si="74"/>
        <v>3.2727272727272729</v>
      </c>
      <c r="AB162" s="25">
        <f t="shared" si="61"/>
        <v>87.272727272727309</v>
      </c>
      <c r="AC162" s="25">
        <f t="shared" si="62"/>
        <v>4</v>
      </c>
      <c r="AE162" s="26">
        <f t="shared" si="63"/>
        <v>2.687520146772971E-2</v>
      </c>
      <c r="AF162" s="27">
        <f t="shared" si="64"/>
        <v>24.23514332769269</v>
      </c>
      <c r="AG162" s="28">
        <f t="shared" si="65"/>
        <v>0.7142857142857143</v>
      </c>
      <c r="AH162" s="29">
        <f t="shared" si="75"/>
        <v>24.218803639999066</v>
      </c>
      <c r="AJ162" s="26">
        <f t="shared" si="66"/>
        <v>3.7625282054821595E-2</v>
      </c>
      <c r="AK162" s="27">
        <f t="shared" si="67"/>
        <v>2827.4333882308138</v>
      </c>
      <c r="AL162" s="29">
        <f t="shared" si="68"/>
        <v>60</v>
      </c>
      <c r="AM162" s="29">
        <f t="shared" si="69"/>
        <v>1.0000000000000001E-9</v>
      </c>
      <c r="AO162" s="26">
        <f t="shared" si="70"/>
        <v>1.8812641027410797</v>
      </c>
      <c r="AP162" s="27">
        <f t="shared" si="71"/>
        <v>16.964600329384883</v>
      </c>
      <c r="AQ162" s="29">
        <f t="shared" si="72"/>
        <v>0.5</v>
      </c>
      <c r="AR162" s="29">
        <f t="shared" si="73"/>
        <v>15.091621242463823</v>
      </c>
    </row>
    <row r="163" spans="24:44" x14ac:dyDescent="0.3">
      <c r="X163" s="44">
        <v>95000000</v>
      </c>
      <c r="Y163" s="4" cm="1">
        <f t="array" ref="Y163">_xlfn.IFS(AND($C$69="Yes", $C$80="Yes"),1/((1/AH163)+(1/AM163)+(1/AR163)), AND($C$69="Yes", $C$80="No"), 1/((1/AH163)+(1/AM163)), AND($C$69="No", $C$80="Yes"), 1/((1/AH163)+(1/AR163)), AND($C$69="No", $C$80="No"), 1/(1/AH163))</f>
        <v>9.8911253562474037</v>
      </c>
      <c r="Z163" s="25">
        <f t="shared" si="60"/>
        <v>9.5231759468817092</v>
      </c>
      <c r="AA163" s="25">
        <f t="shared" si="74"/>
        <v>3.2727272727272729</v>
      </c>
      <c r="AB163" s="25">
        <f t="shared" si="61"/>
        <v>87.272727272727309</v>
      </c>
      <c r="AC163" s="25">
        <f t="shared" si="62"/>
        <v>4</v>
      </c>
      <c r="AE163" s="26">
        <f t="shared" si="63"/>
        <v>2.5460717179954462E-2</v>
      </c>
      <c r="AF163" s="27">
        <f t="shared" si="64"/>
        <v>25.581540179231176</v>
      </c>
      <c r="AG163" s="28">
        <f t="shared" si="65"/>
        <v>0.7142857142857143</v>
      </c>
      <c r="AH163" s="29">
        <f t="shared" si="75"/>
        <v>25.566059562480664</v>
      </c>
      <c r="AJ163" s="26">
        <f t="shared" si="66"/>
        <v>3.5645004051936248E-2</v>
      </c>
      <c r="AK163" s="27">
        <f t="shared" si="67"/>
        <v>2984.5130209103036</v>
      </c>
      <c r="AL163" s="29">
        <f t="shared" si="68"/>
        <v>60</v>
      </c>
      <c r="AM163" s="29">
        <f t="shared" si="69"/>
        <v>1.0000000000000001E-9</v>
      </c>
      <c r="AO163" s="26">
        <f t="shared" si="70"/>
        <v>1.7822502025968125</v>
      </c>
      <c r="AP163" s="27">
        <f t="shared" si="71"/>
        <v>17.907078125461823</v>
      </c>
      <c r="AQ163" s="29">
        <f t="shared" si="72"/>
        <v>0.5</v>
      </c>
      <c r="AR163" s="29">
        <f t="shared" si="73"/>
        <v>16.132578081075792</v>
      </c>
    </row>
    <row r="164" spans="24:44" x14ac:dyDescent="0.3">
      <c r="X164" s="22">
        <v>100000000</v>
      </c>
      <c r="Y164" s="4" cm="1">
        <f t="array" ref="Y164">_xlfn.IFS(AND($C$69="Yes", $C$80="Yes"),1/((1/AH164)+(1/AM164)+(1/AR164)), AND($C$69="Yes", $C$80="No"), 1/((1/AH164)+(1/AM164)), AND($C$69="No", $C$80="Yes"), 1/((1/AH164)+(1/AR164)), AND($C$69="No", $C$80="No"), 1/(1/AH164))</f>
        <v>10.480100276242046</v>
      </c>
      <c r="Z164" s="25">
        <f t="shared" si="60"/>
        <v>9.5231759468817092</v>
      </c>
      <c r="AA164" s="25">
        <f t="shared" si="74"/>
        <v>3.2727272727272729</v>
      </c>
      <c r="AB164" s="25">
        <f t="shared" si="61"/>
        <v>87.272727272727309</v>
      </c>
      <c r="AC164" s="25">
        <f t="shared" si="62"/>
        <v>4</v>
      </c>
      <c r="AE164" s="26">
        <f t="shared" si="63"/>
        <v>2.4187681320956739E-2</v>
      </c>
      <c r="AF164" s="27">
        <f t="shared" si="64"/>
        <v>26.927937030769652</v>
      </c>
      <c r="AG164" s="28">
        <f t="shared" si="65"/>
        <v>0.7142857142857143</v>
      </c>
      <c r="AH164" s="29">
        <f t="shared" si="75"/>
        <v>26.913229704730604</v>
      </c>
      <c r="AJ164" s="26">
        <f t="shared" si="66"/>
        <v>3.3862753849339441E-2</v>
      </c>
      <c r="AK164" s="27">
        <f t="shared" si="67"/>
        <v>3141.5926535897929</v>
      </c>
      <c r="AL164" s="29">
        <f t="shared" si="68"/>
        <v>60</v>
      </c>
      <c r="AM164" s="29">
        <f t="shared" si="69"/>
        <v>1.0000000000000001E-9</v>
      </c>
      <c r="AO164" s="26">
        <f t="shared" si="70"/>
        <v>1.6931376924669719</v>
      </c>
      <c r="AP164" s="27">
        <f t="shared" si="71"/>
        <v>18.849555921538755</v>
      </c>
      <c r="AQ164" s="29">
        <f t="shared" si="72"/>
        <v>0.5</v>
      </c>
      <c r="AR164" s="29">
        <f t="shared" si="73"/>
        <v>17.163702585713448</v>
      </c>
    </row>
    <row r="165" spans="24:44" x14ac:dyDescent="0.3">
      <c r="X165" s="44">
        <v>150000000</v>
      </c>
      <c r="Y165" s="4" cm="1">
        <f t="array" ref="Y165">_xlfn.IFS(AND($C$69="Yes", $C$80="Yes"),1/((1/AH165)+(1/AM165)+(1/AR165)), AND($C$69="Yes", $C$80="No"), 1/((1/AH165)+(1/AM165)), AND($C$69="No", $C$80="Yes"), 1/((1/AH165)+(1/AR165)), AND($C$69="No", $C$80="No"), 1/(1/AH165))</f>
        <v>16.234921422266783</v>
      </c>
      <c r="Z165" s="25">
        <f t="shared" si="60"/>
        <v>9.5231759468817092</v>
      </c>
      <c r="AA165" s="25">
        <f t="shared" si="74"/>
        <v>3.2727272727272729</v>
      </c>
      <c r="AB165" s="25">
        <f t="shared" si="61"/>
        <v>87.272727272727309</v>
      </c>
      <c r="AC165" s="25">
        <f t="shared" si="62"/>
        <v>4</v>
      </c>
      <c r="AE165" s="26">
        <f t="shared" si="63"/>
        <v>1.6125120880637826E-2</v>
      </c>
      <c r="AF165" s="27">
        <f t="shared" si="64"/>
        <v>40.391905546154483</v>
      </c>
      <c r="AG165" s="28">
        <f t="shared" si="65"/>
        <v>0.7142857142857143</v>
      </c>
      <c r="AH165" s="29">
        <f t="shared" si="75"/>
        <v>40.382098125673949</v>
      </c>
      <c r="AJ165" s="26">
        <f t="shared" si="66"/>
        <v>2.2575169232892957E-2</v>
      </c>
      <c r="AK165" s="27">
        <f t="shared" si="67"/>
        <v>4712.3889803846896</v>
      </c>
      <c r="AL165" s="29">
        <f t="shared" si="68"/>
        <v>60</v>
      </c>
      <c r="AM165" s="29">
        <f t="shared" si="69"/>
        <v>1.0000000000000001E-9</v>
      </c>
      <c r="AO165" s="26">
        <f t="shared" si="70"/>
        <v>1.128758461644648</v>
      </c>
      <c r="AP165" s="27">
        <f t="shared" si="71"/>
        <v>28.274333882308138</v>
      </c>
      <c r="AQ165" s="29">
        <f t="shared" si="72"/>
        <v>0.5</v>
      </c>
      <c r="AR165" s="29">
        <f t="shared" si="73"/>
        <v>27.150179832165566</v>
      </c>
    </row>
    <row r="166" spans="24:44" x14ac:dyDescent="0.3">
      <c r="X166" s="22">
        <v>200000000</v>
      </c>
      <c r="Y166" s="4" cm="1">
        <f t="array" ref="Y166">_xlfn.IFS(AND($C$69="Yes", $C$80="Yes"),1/((1/AH166)+(1/AM166)+(1/AR166)), AND($C$69="Yes", $C$80="No"), 1/((1/AH166)+(1/AM166)), AND($C$69="No", $C$80="Yes"), 1/((1/AH166)+(1/AR166)), AND($C$69="No", $C$80="No"), 1/(1/AH166))</f>
        <v>21.880264999874402</v>
      </c>
      <c r="Z166" s="25">
        <f t="shared" si="60"/>
        <v>9.5231759468817092</v>
      </c>
      <c r="AA166" s="25">
        <f t="shared" si="74"/>
        <v>3.2727272727272729</v>
      </c>
      <c r="AB166" s="25">
        <f t="shared" si="61"/>
        <v>87.272727272727309</v>
      </c>
      <c r="AC166" s="25">
        <f t="shared" si="62"/>
        <v>4</v>
      </c>
      <c r="AE166" s="26">
        <f t="shared" si="63"/>
        <v>1.209384066047837E-2</v>
      </c>
      <c r="AF166" s="27">
        <f t="shared" si="64"/>
        <v>53.855874061539303</v>
      </c>
      <c r="AG166" s="28">
        <f t="shared" si="65"/>
        <v>0.7142857142857143</v>
      </c>
      <c r="AH166" s="29">
        <f t="shared" si="75"/>
        <v>53.848517830632396</v>
      </c>
      <c r="AJ166" s="26">
        <f t="shared" si="66"/>
        <v>1.6931376924669721E-2</v>
      </c>
      <c r="AK166" s="27">
        <f t="shared" si="67"/>
        <v>6283.1853071795858</v>
      </c>
      <c r="AL166" s="29">
        <f t="shared" si="68"/>
        <v>60</v>
      </c>
      <c r="AM166" s="29">
        <f t="shared" si="69"/>
        <v>1.0000000000000001E-9</v>
      </c>
      <c r="AO166" s="26">
        <f t="shared" si="70"/>
        <v>0.84656884623348594</v>
      </c>
      <c r="AP166" s="27">
        <f t="shared" si="71"/>
        <v>37.69911184307751</v>
      </c>
      <c r="AQ166" s="29">
        <f t="shared" si="72"/>
        <v>0.5</v>
      </c>
      <c r="AR166" s="29">
        <f t="shared" si="73"/>
        <v>36.85593473694891</v>
      </c>
    </row>
    <row r="167" spans="24:44" x14ac:dyDescent="0.3">
      <c r="X167" s="44">
        <v>250000000</v>
      </c>
      <c r="Y167" s="4" cm="1">
        <f t="array" ref="Y167">_xlfn.IFS(AND($C$69="Yes", $C$80="Yes"),1/((1/AH167)+(1/AM167)+(1/AR167)), AND($C$69="Yes", $C$80="No"), 1/((1/AH167)+(1/AM167)), AND($C$69="No", $C$80="Yes"), 1/((1/AH167)+(1/AR167)), AND($C$69="No", $C$80="No"), 1/(1/AH167))</f>
        <v>27.484157045625199</v>
      </c>
      <c r="Z167" s="25">
        <f t="shared" si="60"/>
        <v>9.5231759468817092</v>
      </c>
      <c r="AA167" s="25">
        <f t="shared" si="74"/>
        <v>3.2727272727272729</v>
      </c>
      <c r="AB167" s="25">
        <f t="shared" si="61"/>
        <v>87.272727272727309</v>
      </c>
      <c r="AC167" s="25">
        <f t="shared" si="62"/>
        <v>4</v>
      </c>
      <c r="AE167" s="26">
        <f t="shared" si="63"/>
        <v>9.6750725283826951E-3</v>
      </c>
      <c r="AF167" s="27">
        <f t="shared" si="64"/>
        <v>67.319842576924145</v>
      </c>
      <c r="AG167" s="28">
        <f t="shared" si="65"/>
        <v>0.7142857142857143</v>
      </c>
      <c r="AH167" s="29">
        <f t="shared" si="75"/>
        <v>67.313957345794549</v>
      </c>
      <c r="AJ167" s="26">
        <f t="shared" si="66"/>
        <v>1.3545101539735774E-2</v>
      </c>
      <c r="AK167" s="27">
        <f t="shared" si="67"/>
        <v>7853.981633974483</v>
      </c>
      <c r="AL167" s="29">
        <f t="shared" si="68"/>
        <v>60</v>
      </c>
      <c r="AM167" s="29">
        <f t="shared" si="69"/>
        <v>1.0000000000000001E-9</v>
      </c>
      <c r="AO167" s="26">
        <f t="shared" si="70"/>
        <v>0.67725507698678866</v>
      </c>
      <c r="AP167" s="27">
        <f t="shared" si="71"/>
        <v>47.1238898038469</v>
      </c>
      <c r="AQ167" s="29">
        <f t="shared" si="72"/>
        <v>0.5</v>
      </c>
      <c r="AR167" s="29">
        <f t="shared" si="73"/>
        <v>46.44932590953681</v>
      </c>
    </row>
    <row r="168" spans="24:44" x14ac:dyDescent="0.3">
      <c r="X168" s="22">
        <v>300000000</v>
      </c>
      <c r="Y168" s="4" cm="1">
        <f t="array" ref="Y168">_xlfn.IFS(AND($C$69="Yes", $C$80="Yes"),1/((1/AH168)+(1/AM168)+(1/AR168)), AND($C$69="Yes", $C$80="No"), 1/((1/AH168)+(1/AM168)), AND($C$69="No", $C$80="Yes"), 1/((1/AH168)+(1/AR168)), AND($C$69="No", $C$80="No"), 1/(1/AH168))</f>
        <v>33.067786522585173</v>
      </c>
      <c r="Z168" s="25">
        <f t="shared" si="60"/>
        <v>9.5231759468817092</v>
      </c>
      <c r="AA168" s="25">
        <f t="shared" si="74"/>
        <v>3.2727272727272729</v>
      </c>
      <c r="AB168" s="25">
        <f t="shared" si="61"/>
        <v>87.272727272727309</v>
      </c>
      <c r="AC168" s="25">
        <f t="shared" si="62"/>
        <v>4</v>
      </c>
      <c r="AE168" s="26">
        <f t="shared" si="63"/>
        <v>8.0625604403189131E-3</v>
      </c>
      <c r="AF168" s="27">
        <f t="shared" si="64"/>
        <v>80.783811092308966</v>
      </c>
      <c r="AG168" s="28">
        <f t="shared" si="65"/>
        <v>0.7142857142857143</v>
      </c>
      <c r="AH168" s="29">
        <f t="shared" si="75"/>
        <v>80.778906621501832</v>
      </c>
      <c r="AJ168" s="26">
        <f t="shared" si="66"/>
        <v>1.1287584616446479E-2</v>
      </c>
      <c r="AK168" s="27">
        <f t="shared" si="67"/>
        <v>9424.7779607693792</v>
      </c>
      <c r="AL168" s="29">
        <f t="shared" si="68"/>
        <v>60</v>
      </c>
      <c r="AM168" s="29">
        <f t="shared" si="69"/>
        <v>1.0000000000000001E-9</v>
      </c>
      <c r="AO168" s="26">
        <f t="shared" si="70"/>
        <v>0.564379230822324</v>
      </c>
      <c r="AP168" s="27">
        <f t="shared" si="71"/>
        <v>56.548667764616276</v>
      </c>
      <c r="AQ168" s="29">
        <f t="shared" si="72"/>
        <v>0.5</v>
      </c>
      <c r="AR168" s="29">
        <f t="shared" si="73"/>
        <v>55.986521258559122</v>
      </c>
    </row>
    <row r="169" spans="24:44" x14ac:dyDescent="0.3">
      <c r="X169" s="44">
        <v>350000000</v>
      </c>
      <c r="Y169" s="4" cm="1">
        <f t="array" ref="Y169">_xlfn.IFS(AND($C$69="Yes", $C$80="Yes"),1/((1/AH169)+(1/AM169)+(1/AR169)), AND($C$69="Yes", $C$80="No"), 1/((1/AH169)+(1/AM169)), AND($C$69="No", $C$80="Yes"), 1/((1/AH169)+(1/AR169)), AND($C$69="No", $C$80="No"), 1/(1/AH169))</f>
        <v>38.639971305491663</v>
      </c>
      <c r="Z169" s="25">
        <f t="shared" si="60"/>
        <v>9.5231759468817092</v>
      </c>
      <c r="AA169" s="25">
        <f t="shared" si="74"/>
        <v>3.2727272727272729</v>
      </c>
      <c r="AB169" s="25">
        <f t="shared" si="61"/>
        <v>87.272727272727309</v>
      </c>
      <c r="AC169" s="25">
        <f t="shared" si="62"/>
        <v>4</v>
      </c>
      <c r="AE169" s="26">
        <f t="shared" si="63"/>
        <v>6.910766091701926E-3</v>
      </c>
      <c r="AF169" s="27">
        <f t="shared" si="64"/>
        <v>94.247779607693786</v>
      </c>
      <c r="AG169" s="28">
        <f t="shared" si="65"/>
        <v>0.7142857142857143</v>
      </c>
      <c r="AH169" s="29">
        <f t="shared" si="75"/>
        <v>94.243575717932515</v>
      </c>
      <c r="AJ169" s="26">
        <f t="shared" si="66"/>
        <v>9.6750725283826968E-3</v>
      </c>
      <c r="AK169" s="27">
        <f t="shared" si="67"/>
        <v>10995.574287564275</v>
      </c>
      <c r="AL169" s="29">
        <f t="shared" si="68"/>
        <v>60</v>
      </c>
      <c r="AM169" s="29">
        <f t="shared" si="69"/>
        <v>1.0000000000000001E-9</v>
      </c>
      <c r="AO169" s="26">
        <f t="shared" si="70"/>
        <v>0.48375362641913477</v>
      </c>
      <c r="AP169" s="27">
        <f t="shared" si="71"/>
        <v>65.973445725385645</v>
      </c>
      <c r="AQ169" s="29">
        <f t="shared" si="72"/>
        <v>0.5</v>
      </c>
      <c r="AR169" s="29">
        <f t="shared" si="73"/>
        <v>65.491600768475934</v>
      </c>
    </row>
    <row r="170" spans="24:44" x14ac:dyDescent="0.3">
      <c r="X170" s="22">
        <v>400000000</v>
      </c>
      <c r="Y170" s="4" cm="1">
        <f t="array" ref="Y170">_xlfn.IFS(AND($C$69="Yes", $C$80="Yes"),1/((1/AH170)+(1/AM170)+(1/AR170)), AND($C$69="Yes", $C$80="No"), 1/((1/AH170)+(1/AM170)), AND($C$69="No", $C$80="Yes"), 1/((1/AH170)+(1/AR170)), AND($C$69="No", $C$80="No"), 1/(1/AH170))</f>
        <v>44.20505170071727</v>
      </c>
      <c r="Z170" s="25">
        <f t="shared" si="60"/>
        <v>9.5231759468817092</v>
      </c>
      <c r="AA170" s="25">
        <f t="shared" si="74"/>
        <v>3.2727272727272729</v>
      </c>
      <c r="AB170" s="25">
        <f t="shared" si="61"/>
        <v>87.272727272727309</v>
      </c>
      <c r="AC170" s="25">
        <f t="shared" si="62"/>
        <v>4</v>
      </c>
      <c r="AE170" s="26">
        <f t="shared" si="63"/>
        <v>6.0469203302391849E-3</v>
      </c>
      <c r="AF170" s="27">
        <f t="shared" si="64"/>
        <v>107.71174812307861</v>
      </c>
      <c r="AG170" s="28">
        <f t="shared" si="65"/>
        <v>0.7142857142857143</v>
      </c>
      <c r="AH170" s="29">
        <f t="shared" si="75"/>
        <v>107.70806968680363</v>
      </c>
      <c r="AJ170" s="26">
        <f t="shared" si="66"/>
        <v>8.4656884623348604E-3</v>
      </c>
      <c r="AK170" s="27">
        <f t="shared" si="67"/>
        <v>12566.370614359172</v>
      </c>
      <c r="AL170" s="29">
        <f t="shared" si="68"/>
        <v>60</v>
      </c>
      <c r="AM170" s="29">
        <f t="shared" si="69"/>
        <v>1.0000000000000001E-9</v>
      </c>
      <c r="AO170" s="26">
        <f t="shared" si="70"/>
        <v>0.42328442311674297</v>
      </c>
      <c r="AP170" s="27">
        <f t="shared" si="71"/>
        <v>75.398223686155021</v>
      </c>
      <c r="AQ170" s="29">
        <f t="shared" si="72"/>
        <v>0.5</v>
      </c>
      <c r="AR170" s="29">
        <f t="shared" si="73"/>
        <v>74.976606468259675</v>
      </c>
    </row>
    <row r="171" spans="24:44" x14ac:dyDescent="0.3">
      <c r="X171" s="44">
        <v>450000000</v>
      </c>
      <c r="Y171" s="4" cm="1">
        <f t="array" ref="Y171">_xlfn.IFS(AND($C$69="Yes", $C$80="Yes"),1/((1/AH171)+(1/AM171)+(1/AR171)), AND($C$69="Yes", $C$80="No"), 1/((1/AH171)+(1/AM171)), AND($C$69="No", $C$80="Yes"), 1/((1/AH171)+(1/AR171)), AND($C$69="No", $C$80="No"), 1/(1/AH171))</f>
        <v>49.765416352244252</v>
      </c>
      <c r="Z171" s="25">
        <f t="shared" si="60"/>
        <v>9.5231759468817092</v>
      </c>
      <c r="AA171" s="25">
        <f t="shared" si="74"/>
        <v>3.2727272727272729</v>
      </c>
      <c r="AB171" s="25">
        <f t="shared" si="61"/>
        <v>87.272727272727309</v>
      </c>
      <c r="AC171" s="25">
        <f t="shared" si="62"/>
        <v>4</v>
      </c>
      <c r="AE171" s="26">
        <f t="shared" si="63"/>
        <v>5.3750402935459412E-3</v>
      </c>
      <c r="AF171" s="27">
        <f t="shared" si="64"/>
        <v>121.17571663846346</v>
      </c>
      <c r="AG171" s="28">
        <f t="shared" si="65"/>
        <v>0.7142857142857143</v>
      </c>
      <c r="AH171" s="29">
        <f t="shared" si="75"/>
        <v>121.17244689738183</v>
      </c>
      <c r="AJ171" s="26">
        <f t="shared" si="66"/>
        <v>7.5250564109643186E-3</v>
      </c>
      <c r="AK171" s="27">
        <f t="shared" si="67"/>
        <v>14137.166941154072</v>
      </c>
      <c r="AL171" s="29">
        <f t="shared" si="68"/>
        <v>60</v>
      </c>
      <c r="AM171" s="29">
        <f t="shared" si="69"/>
        <v>1.0000000000000001E-9</v>
      </c>
      <c r="AO171" s="26">
        <f t="shared" si="70"/>
        <v>0.37625282054821596</v>
      </c>
      <c r="AP171" s="27">
        <f t="shared" si="71"/>
        <v>84.823001646924411</v>
      </c>
      <c r="AQ171" s="29">
        <f t="shared" si="72"/>
        <v>0.5</v>
      </c>
      <c r="AR171" s="29">
        <f t="shared" si="73"/>
        <v>84.448229036167888</v>
      </c>
    </row>
    <row r="172" spans="24:44" x14ac:dyDescent="0.3">
      <c r="X172" s="22">
        <v>500000000</v>
      </c>
      <c r="Y172" s="4" cm="1">
        <f t="array" ref="Y172">_xlfn.IFS(AND($C$69="Yes", $C$80="Yes"),1/((1/AH172)+(1/AM172)+(1/AR172)), AND($C$69="Yes", $C$80="No"), 1/((1/AH172)+(1/AM172)), AND($C$69="No", $C$80="Yes"), 1/((1/AH172)+(1/AR172)), AND($C$69="No", $C$80="No"), 1/(1/AH172))</f>
        <v>55.322489677060389</v>
      </c>
      <c r="Z172" s="25">
        <f t="shared" si="60"/>
        <v>9.5231759468817092</v>
      </c>
      <c r="AA172" s="25">
        <f t="shared" si="74"/>
        <v>3.2727272727272729</v>
      </c>
      <c r="AB172" s="25">
        <f t="shared" si="61"/>
        <v>87.272727272727309</v>
      </c>
      <c r="AC172" s="25">
        <f t="shared" si="62"/>
        <v>4</v>
      </c>
      <c r="AE172" s="26">
        <f t="shared" si="63"/>
        <v>4.8375362641913475E-3</v>
      </c>
      <c r="AF172" s="27">
        <f t="shared" si="64"/>
        <v>134.63968515384829</v>
      </c>
      <c r="AG172" s="28">
        <f t="shared" si="65"/>
        <v>0.7142857142857143</v>
      </c>
      <c r="AH172" s="29">
        <f t="shared" si="75"/>
        <v>134.63674237403293</v>
      </c>
      <c r="AJ172" s="26">
        <f t="shared" si="66"/>
        <v>6.7725507698678869E-3</v>
      </c>
      <c r="AK172" s="27">
        <f t="shared" si="67"/>
        <v>15707.963267948966</v>
      </c>
      <c r="AL172" s="29">
        <f t="shared" si="68"/>
        <v>60</v>
      </c>
      <c r="AM172" s="29">
        <f t="shared" si="69"/>
        <v>1.0000000000000001E-9</v>
      </c>
      <c r="AO172" s="26">
        <f t="shared" si="70"/>
        <v>0.33862753849339433</v>
      </c>
      <c r="AP172" s="27">
        <f t="shared" si="71"/>
        <v>94.247779607693801</v>
      </c>
      <c r="AQ172" s="29">
        <f t="shared" si="72"/>
        <v>0.5</v>
      </c>
      <c r="AR172" s="29">
        <f t="shared" si="73"/>
        <v>93.910483133440465</v>
      </c>
    </row>
    <row r="173" spans="24:44" x14ac:dyDescent="0.3">
      <c r="X173" s="44">
        <v>550000000</v>
      </c>
      <c r="Y173" s="4" cm="1">
        <f t="array" ref="Y173">_xlfn.IFS(AND($C$69="Yes", $C$80="Yes"),1/((1/AH173)+(1/AM173)+(1/AR173)), AND($C$69="Yes", $C$80="No"), 1/((1/AH173)+(1/AM173)), AND($C$69="No", $C$80="Yes"), 1/((1/AH173)+(1/AR173)), AND($C$69="No", $C$80="No"), 1/(1/AH173))</f>
        <v>60.877174298742645</v>
      </c>
      <c r="Z173" s="25">
        <f t="shared" si="60"/>
        <v>9.5231759468817092</v>
      </c>
      <c r="AA173" s="25">
        <f t="shared" si="74"/>
        <v>3.2727272727272729</v>
      </c>
      <c r="AB173" s="25">
        <f t="shared" si="61"/>
        <v>87.272727272727309</v>
      </c>
      <c r="AC173" s="25">
        <f t="shared" si="62"/>
        <v>4</v>
      </c>
      <c r="AE173" s="26">
        <f t="shared" si="63"/>
        <v>4.3977602401739525E-3</v>
      </c>
      <c r="AF173" s="27">
        <f t="shared" si="64"/>
        <v>148.10365366923313</v>
      </c>
      <c r="AG173" s="28">
        <f t="shared" si="65"/>
        <v>0.7142857142857143</v>
      </c>
      <c r="AH173" s="29">
        <f t="shared" si="75"/>
        <v>148.10097840621788</v>
      </c>
      <c r="AJ173" s="26">
        <f t="shared" si="66"/>
        <v>6.1568643362435336E-3</v>
      </c>
      <c r="AK173" s="27">
        <f t="shared" si="67"/>
        <v>17278.759594743864</v>
      </c>
      <c r="AL173" s="29">
        <f t="shared" si="68"/>
        <v>60</v>
      </c>
      <c r="AM173" s="29">
        <f t="shared" si="69"/>
        <v>1.0000000000000001E-9</v>
      </c>
      <c r="AO173" s="26">
        <f t="shared" si="70"/>
        <v>0.30784321681217669</v>
      </c>
      <c r="AP173" s="27">
        <f t="shared" si="71"/>
        <v>103.67255756846318</v>
      </c>
      <c r="AQ173" s="29">
        <f t="shared" si="72"/>
        <v>0.5</v>
      </c>
      <c r="AR173" s="29">
        <f t="shared" si="73"/>
        <v>103.36592365474419</v>
      </c>
    </row>
    <row r="174" spans="24:44" x14ac:dyDescent="0.3">
      <c r="X174" s="22">
        <v>600000000</v>
      </c>
      <c r="Y174" s="4" cm="1">
        <f t="array" ref="Y174">_xlfn.IFS(AND($C$69="Yes", $C$80="Yes"),1/((1/AH174)+(1/AM174)+(1/AR174)), AND($C$69="Yes", $C$80="No"), 1/((1/AH174)+(1/AM174)), AND($C$69="No", $C$80="Yes"), 1/((1/AH174)+(1/AR174)), AND($C$69="No", $C$80="No"), 1/(1/AH174))</f>
        <v>66.430070140179367</v>
      </c>
      <c r="Z174" s="25">
        <f t="shared" si="60"/>
        <v>9.5231759468817092</v>
      </c>
      <c r="AA174" s="25">
        <f t="shared" si="74"/>
        <v>3.2727272727272729</v>
      </c>
      <c r="AB174" s="25">
        <f t="shared" si="61"/>
        <v>87.272727272727309</v>
      </c>
      <c r="AC174" s="25">
        <f t="shared" si="62"/>
        <v>4</v>
      </c>
      <c r="AE174" s="26">
        <f t="shared" si="63"/>
        <v>4.0312802201594566E-3</v>
      </c>
      <c r="AF174" s="27">
        <f t="shared" si="64"/>
        <v>161.56762218461793</v>
      </c>
      <c r="AG174" s="28">
        <f t="shared" si="65"/>
        <v>0.7142857142857143</v>
      </c>
      <c r="AH174" s="29">
        <f t="shared" si="75"/>
        <v>161.56516985416516</v>
      </c>
      <c r="AJ174" s="26">
        <f t="shared" si="66"/>
        <v>5.6437923082232394E-3</v>
      </c>
      <c r="AK174" s="27">
        <f t="shared" si="67"/>
        <v>18849.555921538758</v>
      </c>
      <c r="AL174" s="29">
        <f t="shared" si="68"/>
        <v>60</v>
      </c>
      <c r="AM174" s="29">
        <f t="shared" si="69"/>
        <v>1.0000000000000001E-9</v>
      </c>
      <c r="AO174" s="26">
        <f t="shared" si="70"/>
        <v>0.282189615411162</v>
      </c>
      <c r="AP174" s="27">
        <f t="shared" si="71"/>
        <v>113.09733552923255</v>
      </c>
      <c r="AQ174" s="29">
        <f t="shared" si="72"/>
        <v>0.5</v>
      </c>
      <c r="AR174" s="29">
        <f t="shared" si="73"/>
        <v>112.81625391563404</v>
      </c>
    </row>
    <row r="175" spans="24:44" x14ac:dyDescent="0.3">
      <c r="X175" s="44">
        <v>650000000</v>
      </c>
      <c r="Y175" s="4" cm="1">
        <f t="array" ref="Y175">_xlfn.IFS(AND($C$69="Yes", $C$80="Yes"),1/((1/AH175)+(1/AM175)+(1/AR175)), AND($C$69="Yes", $C$80="No"), 1/((1/AH175)+(1/AM175)), AND($C$69="No", $C$80="Yes"), 1/((1/AH175)+(1/AR175)), AND($C$69="No", $C$80="No"), 1/(1/AH175))</f>
        <v>71.981591594775821</v>
      </c>
      <c r="Z175" s="25">
        <f t="shared" si="60"/>
        <v>9.5231759468817092</v>
      </c>
      <c r="AA175" s="25">
        <f t="shared" si="74"/>
        <v>3.2727272727272729</v>
      </c>
      <c r="AB175" s="25">
        <f t="shared" si="61"/>
        <v>87.272727272727309</v>
      </c>
      <c r="AC175" s="25">
        <f t="shared" si="62"/>
        <v>4</v>
      </c>
      <c r="AE175" s="26">
        <f t="shared" si="63"/>
        <v>3.7211817416856526E-3</v>
      </c>
      <c r="AF175" s="27">
        <f t="shared" si="64"/>
        <v>175.03159070000277</v>
      </c>
      <c r="AG175" s="28">
        <f t="shared" si="65"/>
        <v>0.7142857142857143</v>
      </c>
      <c r="AH175" s="29">
        <f t="shared" si="75"/>
        <v>175.02932700602793</v>
      </c>
      <c r="AJ175" s="26">
        <f t="shared" si="66"/>
        <v>5.2096544383599137E-3</v>
      </c>
      <c r="AK175" s="27">
        <f t="shared" si="67"/>
        <v>20420.352248333653</v>
      </c>
      <c r="AL175" s="29">
        <f t="shared" si="68"/>
        <v>60</v>
      </c>
      <c r="AM175" s="29">
        <f t="shared" si="69"/>
        <v>1.0000000000000001E-9</v>
      </c>
      <c r="AO175" s="26">
        <f t="shared" si="70"/>
        <v>0.26048272191799565</v>
      </c>
      <c r="AP175" s="27">
        <f t="shared" si="71"/>
        <v>122.52211349000193</v>
      </c>
      <c r="AQ175" s="29">
        <f t="shared" si="72"/>
        <v>0.5</v>
      </c>
      <c r="AR175" s="29">
        <f t="shared" si="73"/>
        <v>122.26265316142656</v>
      </c>
    </row>
    <row r="176" spans="24:44" x14ac:dyDescent="0.3">
      <c r="X176" s="22">
        <v>700000000</v>
      </c>
      <c r="Y176" s="4" cm="1">
        <f t="array" ref="Y176">_xlfn.IFS(AND($C$69="Yes", $C$80="Yes"),1/((1/AH176)+(1/AM176)+(1/AR176)), AND($C$69="Yes", $C$80="No"), 1/((1/AH176)+(1/AM176)), AND($C$69="No", $C$80="Yes"), 1/((1/AH176)+(1/AR176)), AND($C$69="No", $C$80="No"), 1/(1/AH176))</f>
        <v>77.532034146787751</v>
      </c>
      <c r="Z176" s="25">
        <f t="shared" si="60"/>
        <v>9.5231759468817092</v>
      </c>
      <c r="AA176" s="25">
        <f t="shared" si="74"/>
        <v>3.2727272727272729</v>
      </c>
      <c r="AB176" s="25">
        <f t="shared" si="61"/>
        <v>87.272727272727309</v>
      </c>
      <c r="AC176" s="25">
        <f t="shared" si="62"/>
        <v>4</v>
      </c>
      <c r="AE176" s="26">
        <f t="shared" si="63"/>
        <v>3.455383045850963E-3</v>
      </c>
      <c r="AF176" s="27">
        <f t="shared" si="64"/>
        <v>188.49555921538757</v>
      </c>
      <c r="AG176" s="28">
        <f t="shared" si="65"/>
        <v>0.7142857142857143</v>
      </c>
      <c r="AH176" s="29">
        <f t="shared" si="75"/>
        <v>188.49345721065205</v>
      </c>
      <c r="AJ176" s="26">
        <f t="shared" si="66"/>
        <v>4.8375362641913484E-3</v>
      </c>
      <c r="AK176" s="27">
        <f t="shared" si="67"/>
        <v>21991.148575128551</v>
      </c>
      <c r="AL176" s="29">
        <f t="shared" si="68"/>
        <v>60</v>
      </c>
      <c r="AM176" s="29">
        <f t="shared" si="69"/>
        <v>1.0000000000000001E-9</v>
      </c>
      <c r="AO176" s="26">
        <f t="shared" si="70"/>
        <v>0.24187681320956739</v>
      </c>
      <c r="AP176" s="27">
        <f t="shared" si="71"/>
        <v>131.94689145077129</v>
      </c>
      <c r="AQ176" s="29">
        <f t="shared" si="72"/>
        <v>0.5</v>
      </c>
      <c r="AR176" s="29">
        <f t="shared" si="73"/>
        <v>131.70596372480767</v>
      </c>
    </row>
    <row r="177" spans="24:44" x14ac:dyDescent="0.3">
      <c r="X177" s="44">
        <v>750000000</v>
      </c>
      <c r="Y177" s="4" cm="1">
        <f t="array" ref="Y177">_xlfn.IFS(AND($C$69="Yes", $C$80="Yes"),1/((1/AH177)+(1/AM177)+(1/AR177)), AND($C$69="Yes", $C$80="No"), 1/((1/AH177)+(1/AM177)), AND($C$69="No", $C$80="Yes"), 1/((1/AH177)+(1/AR177)), AND($C$69="No", $C$80="No"), 1/(1/AH177))</f>
        <v>83.081614192097149</v>
      </c>
      <c r="Z177" s="25">
        <f t="shared" si="60"/>
        <v>9.5231759468817092</v>
      </c>
      <c r="AA177" s="25">
        <f t="shared" si="74"/>
        <v>3.2727272727272729</v>
      </c>
      <c r="AB177" s="25">
        <f t="shared" si="61"/>
        <v>87.272727272727309</v>
      </c>
      <c r="AC177" s="25">
        <f t="shared" si="62"/>
        <v>4</v>
      </c>
      <c r="AE177" s="26">
        <f t="shared" si="63"/>
        <v>3.2250241761275656E-3</v>
      </c>
      <c r="AF177" s="27">
        <f t="shared" si="64"/>
        <v>201.95952773077241</v>
      </c>
      <c r="AG177" s="28">
        <f t="shared" si="65"/>
        <v>0.7142857142857143</v>
      </c>
      <c r="AH177" s="29">
        <f t="shared" si="75"/>
        <v>201.95756585728594</v>
      </c>
      <c r="AJ177" s="26">
        <f t="shared" si="66"/>
        <v>4.5150338465785918E-3</v>
      </c>
      <c r="AK177" s="27">
        <f t="shared" si="67"/>
        <v>23561.944901923445</v>
      </c>
      <c r="AL177" s="29">
        <f t="shared" si="68"/>
        <v>60</v>
      </c>
      <c r="AM177" s="29">
        <f t="shared" si="69"/>
        <v>1.0000000000000001E-9</v>
      </c>
      <c r="AO177" s="26">
        <f t="shared" si="70"/>
        <v>0.22575169232892955</v>
      </c>
      <c r="AP177" s="27">
        <f t="shared" si="71"/>
        <v>141.37166941154067</v>
      </c>
      <c r="AQ177" s="29">
        <f t="shared" si="72"/>
        <v>0.5</v>
      </c>
      <c r="AR177" s="29">
        <f t="shared" si="73"/>
        <v>141.14680332476001</v>
      </c>
    </row>
    <row r="178" spans="24:44" x14ac:dyDescent="0.3">
      <c r="X178" s="22">
        <v>800000000</v>
      </c>
      <c r="Y178" s="4" cm="1">
        <f t="array" ref="Y178">_xlfn.IFS(AND($C$69="Yes", $C$80="Yes"),1/((1/AH178)+(1/AM178)+(1/AR178)), AND($C$69="Yes", $C$80="No"), 1/((1/AH178)+(1/AM178)), AND($C$69="No", $C$80="Yes"), 1/((1/AH178)+(1/AR178)), AND($C$69="No", $C$80="No"), 1/(1/AH178))</f>
        <v>88.630493852957599</v>
      </c>
      <c r="Z178" s="25">
        <f t="shared" si="60"/>
        <v>9.5231759468817092</v>
      </c>
      <c r="AA178" s="25">
        <f t="shared" si="74"/>
        <v>3.2727272727272729</v>
      </c>
      <c r="AB178" s="25">
        <f t="shared" si="61"/>
        <v>87.272727272727309</v>
      </c>
      <c r="AC178" s="25">
        <f t="shared" si="62"/>
        <v>4</v>
      </c>
      <c r="AE178" s="26">
        <f t="shared" si="63"/>
        <v>3.0234601651195924E-3</v>
      </c>
      <c r="AF178" s="27">
        <f t="shared" si="64"/>
        <v>215.42349624615721</v>
      </c>
      <c r="AG178" s="28">
        <f t="shared" si="65"/>
        <v>0.7142857142857143</v>
      </c>
      <c r="AH178" s="29">
        <f t="shared" si="75"/>
        <v>215.42165698792218</v>
      </c>
      <c r="AJ178" s="26">
        <f t="shared" si="66"/>
        <v>4.2328442311674302E-3</v>
      </c>
      <c r="AK178" s="27">
        <f t="shared" si="67"/>
        <v>25132.741228718343</v>
      </c>
      <c r="AL178" s="29">
        <f t="shared" si="68"/>
        <v>60</v>
      </c>
      <c r="AM178" s="29">
        <f t="shared" si="69"/>
        <v>1.0000000000000001E-9</v>
      </c>
      <c r="AO178" s="26">
        <f t="shared" si="70"/>
        <v>0.21164221155837148</v>
      </c>
      <c r="AP178" s="27">
        <f t="shared" si="71"/>
        <v>150.79644737231004</v>
      </c>
      <c r="AQ178" s="29">
        <f t="shared" si="72"/>
        <v>0.5</v>
      </c>
      <c r="AR178" s="29">
        <f t="shared" si="73"/>
        <v>150.58563525549687</v>
      </c>
    </row>
    <row r="179" spans="24:44" x14ac:dyDescent="0.3">
      <c r="X179" s="44">
        <v>850000000</v>
      </c>
      <c r="Y179" s="4" cm="1">
        <f t="array" ref="Y179">_xlfn.IFS(AND($C$69="Yes", $C$80="Yes"),1/((1/AH179)+(1/AM179)+(1/AR179)), AND($C$69="Yes", $C$80="No"), 1/((1/AH179)+(1/AM179)), AND($C$69="No", $C$80="Yes"), 1/((1/AH179)+(1/AR179)), AND($C$69="No", $C$80="No"), 1/(1/AH179))</f>
        <v>94.178796997130846</v>
      </c>
      <c r="Z179" s="25">
        <f t="shared" si="60"/>
        <v>9.5231759468817092</v>
      </c>
      <c r="AA179" s="25">
        <f t="shared" si="74"/>
        <v>3.2727272727272729</v>
      </c>
      <c r="AB179" s="25">
        <f t="shared" si="61"/>
        <v>87.272727272727309</v>
      </c>
      <c r="AC179" s="25">
        <f t="shared" si="62"/>
        <v>4</v>
      </c>
      <c r="AE179" s="26">
        <f t="shared" si="63"/>
        <v>2.8456095671713804E-3</v>
      </c>
      <c r="AF179" s="27">
        <f t="shared" si="64"/>
        <v>228.88746476154211</v>
      </c>
      <c r="AG179" s="28">
        <f t="shared" si="65"/>
        <v>0.7142857142857143</v>
      </c>
      <c r="AH179" s="29">
        <f t="shared" si="75"/>
        <v>228.88573369353156</v>
      </c>
      <c r="AJ179" s="26">
        <f t="shared" si="66"/>
        <v>3.9838533940399334E-3</v>
      </c>
      <c r="AK179" s="27">
        <f t="shared" si="67"/>
        <v>26703.537555513245</v>
      </c>
      <c r="AL179" s="29">
        <f t="shared" si="68"/>
        <v>60</v>
      </c>
      <c r="AM179" s="29">
        <f t="shared" si="69"/>
        <v>1.0000000000000001E-9</v>
      </c>
      <c r="AO179" s="26">
        <f t="shared" si="70"/>
        <v>0.19919266970199664</v>
      </c>
      <c r="AP179" s="27">
        <f t="shared" si="71"/>
        <v>160.22122533307945</v>
      </c>
      <c r="AQ179" s="29">
        <f t="shared" si="72"/>
        <v>0.5</v>
      </c>
      <c r="AR179" s="29">
        <f t="shared" si="73"/>
        <v>160.02281380390434</v>
      </c>
    </row>
    <row r="180" spans="24:44" x14ac:dyDescent="0.3">
      <c r="X180" s="22">
        <v>900000000</v>
      </c>
      <c r="Y180" s="4" cm="1">
        <f t="array" ref="Y180">_xlfn.IFS(AND($C$69="Yes", $C$80="Yes"),1/((1/AH180)+(1/AM180)+(1/AR180)), AND($C$69="Yes", $C$80="No"), 1/((1/AH180)+(1/AM180)), AND($C$69="No", $C$80="Yes"), 1/((1/AH180)+(1/AR180)), AND($C$69="No", $C$80="No"), 1/(1/AH180))</f>
        <v>99.726619897210981</v>
      </c>
      <c r="Z180" s="25">
        <f t="shared" si="60"/>
        <v>9.5231759468817092</v>
      </c>
      <c r="AA180" s="25">
        <f t="shared" si="74"/>
        <v>3.2727272727272729</v>
      </c>
      <c r="AB180" s="25">
        <f t="shared" si="61"/>
        <v>87.272727272727309</v>
      </c>
      <c r="AC180" s="25">
        <f t="shared" si="62"/>
        <v>4</v>
      </c>
      <c r="AE180" s="26">
        <f t="shared" si="63"/>
        <v>2.6875201467729706E-3</v>
      </c>
      <c r="AF180" s="27">
        <f t="shared" si="64"/>
        <v>242.35143327692691</v>
      </c>
      <c r="AG180" s="28">
        <f t="shared" si="65"/>
        <v>0.7142857142857143</v>
      </c>
      <c r="AH180" s="29">
        <f t="shared" si="75"/>
        <v>242.34979837822456</v>
      </c>
      <c r="AJ180" s="26">
        <f t="shared" si="66"/>
        <v>3.7625282054821593E-3</v>
      </c>
      <c r="AK180" s="27">
        <f t="shared" si="67"/>
        <v>28274.333882308143</v>
      </c>
      <c r="AL180" s="29">
        <f t="shared" si="68"/>
        <v>60</v>
      </c>
      <c r="AM180" s="29">
        <f t="shared" si="69"/>
        <v>1.0000000000000001E-9</v>
      </c>
      <c r="AO180" s="26">
        <f t="shared" si="70"/>
        <v>0.18812641027410798</v>
      </c>
      <c r="AP180" s="27">
        <f t="shared" si="71"/>
        <v>169.64600329384882</v>
      </c>
      <c r="AQ180" s="29">
        <f t="shared" si="72"/>
        <v>0.5</v>
      </c>
      <c r="AR180" s="29">
        <f t="shared" si="73"/>
        <v>169.45861452841154</v>
      </c>
    </row>
    <row r="181" spans="24:44" x14ac:dyDescent="0.3">
      <c r="X181" s="44">
        <v>950000000</v>
      </c>
      <c r="Y181" s="4" cm="1">
        <f t="array" ref="Y181">_xlfn.IFS(AND($C$69="Yes", $C$80="Yes"),1/((1/AH181)+(1/AM181)+(1/AR181)), AND($C$69="Yes", $C$80="No"), 1/((1/AH181)+(1/AM181)), AND($C$69="No", $C$80="Yes"), 1/((1/AH181)+(1/AR181)), AND($C$69="No", $C$80="No"), 1/(1/AH181))</f>
        <v>105.27403851260806</v>
      </c>
      <c r="Z181" s="25">
        <f t="shared" si="60"/>
        <v>9.5231759468817092</v>
      </c>
      <c r="AA181" s="25">
        <f t="shared" si="74"/>
        <v>3.2727272727272729</v>
      </c>
      <c r="AB181" s="25">
        <f t="shared" si="61"/>
        <v>87.272727272727309</v>
      </c>
      <c r="AC181" s="25">
        <f t="shared" si="62"/>
        <v>4</v>
      </c>
      <c r="AE181" s="26">
        <f t="shared" si="63"/>
        <v>2.5460717179954461E-3</v>
      </c>
      <c r="AF181" s="27">
        <f t="shared" si="64"/>
        <v>255.81540179231172</v>
      </c>
      <c r="AG181" s="28">
        <f t="shared" si="65"/>
        <v>0.7142857142857143</v>
      </c>
      <c r="AH181" s="29">
        <f t="shared" si="75"/>
        <v>255.81385293999801</v>
      </c>
      <c r="AJ181" s="26">
        <f t="shared" si="66"/>
        <v>3.5645004051936247E-3</v>
      </c>
      <c r="AK181" s="27">
        <f t="shared" si="67"/>
        <v>29845.130209103037</v>
      </c>
      <c r="AL181" s="29">
        <f t="shared" si="68"/>
        <v>60</v>
      </c>
      <c r="AM181" s="29">
        <f t="shared" si="69"/>
        <v>1.0000000000000001E-9</v>
      </c>
      <c r="AO181" s="26">
        <f t="shared" si="70"/>
        <v>0.17822502025968123</v>
      </c>
      <c r="AP181" s="27">
        <f t="shared" si="71"/>
        <v>179.07078125461823</v>
      </c>
      <c r="AQ181" s="29">
        <f t="shared" si="72"/>
        <v>0.5</v>
      </c>
      <c r="AR181" s="29">
        <f t="shared" si="73"/>
        <v>178.89325497643318</v>
      </c>
    </row>
    <row r="182" spans="24:44" x14ac:dyDescent="0.3">
      <c r="X182" s="22">
        <v>1000000000</v>
      </c>
      <c r="Y182" s="4" cm="1">
        <f t="array" ref="Y182">_xlfn.IFS(AND($C$69="Yes", $C$80="Yes"),1/((1/AH182)+(1/AM182)+(1/AR182)), AND($C$69="Yes", $C$80="No"), 1/((1/AH182)+(1/AM182)), AND($C$69="No", $C$80="Yes"), 1/((1/AH182)+(1/AR182)), AND($C$69="No", $C$80="No"), 1/(1/AH182))</f>
        <v>110.82111358042243</v>
      </c>
      <c r="Z182" s="25">
        <f t="shared" si="60"/>
        <v>9.5231759468817092</v>
      </c>
      <c r="AA182" s="25">
        <f t="shared" si="74"/>
        <v>3.2727272727272729</v>
      </c>
      <c r="AB182" s="25">
        <f t="shared" si="61"/>
        <v>87.272727272727309</v>
      </c>
      <c r="AC182" s="25">
        <f t="shared" si="62"/>
        <v>4</v>
      </c>
      <c r="AE182" s="26">
        <f t="shared" si="63"/>
        <v>2.4187681320956738E-3</v>
      </c>
      <c r="AF182" s="27">
        <f t="shared" si="64"/>
        <v>269.27937030769658</v>
      </c>
      <c r="AG182" s="28">
        <f t="shared" si="65"/>
        <v>0.7142857142857143</v>
      </c>
      <c r="AH182" s="29">
        <f t="shared" si="75"/>
        <v>269.27789889725926</v>
      </c>
      <c r="AJ182" s="26">
        <f t="shared" si="66"/>
        <v>3.3862753849339434E-3</v>
      </c>
      <c r="AK182" s="27">
        <f t="shared" si="67"/>
        <v>31415.926535897932</v>
      </c>
      <c r="AL182" s="29">
        <f t="shared" si="68"/>
        <v>60</v>
      </c>
      <c r="AM182" s="29">
        <f t="shared" si="69"/>
        <v>1.0000000000000001E-9</v>
      </c>
      <c r="AO182" s="26">
        <f t="shared" si="70"/>
        <v>0.16931376924669717</v>
      </c>
      <c r="AP182" s="27">
        <f t="shared" si="71"/>
        <v>188.4955592153876</v>
      </c>
      <c r="AQ182" s="29">
        <f t="shared" si="72"/>
        <v>0.5</v>
      </c>
      <c r="AR182" s="29">
        <f t="shared" si="73"/>
        <v>188.32690918676522</v>
      </c>
    </row>
  </sheetData>
  <conditionalFormatting sqref="D2:D9">
    <cfRule type="cellIs" dxfId="1" priority="1" operator="equal">
      <formula>"BAD"</formula>
    </cfRule>
    <cfRule type="containsText" dxfId="0" priority="2" operator="containsText" text="GOOD">
      <formula>NOT(ISERROR(SEARCH("GOOD",D2)))</formula>
    </cfRule>
  </conditionalFormatting>
  <dataValidations count="1">
    <dataValidation type="list" allowBlank="1" showInputMessage="1" showErrorMessage="1" sqref="C69 C80" xr:uid="{1C145FC3-95DE-4489-BEAB-27032FD29504}">
      <formula1>"Yes,No"</formula1>
    </dataValidation>
  </dataValidations>
  <pageMargins left="0.7" right="0.7" top="0.75" bottom="0.75" header="0.3" footer="0.3"/>
  <pageSetup orientation="portrait" r:id="rId1"/>
  <ignoredErrors>
    <ignoredError sqref="C34" unlocked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4C76F1-A6C1-40B3-A102-16472BAD2ED4}">
  <dimension ref="B2:H29"/>
  <sheetViews>
    <sheetView zoomScale="110" zoomScaleNormal="110" workbookViewId="0">
      <selection activeCell="C11" sqref="C11"/>
    </sheetView>
  </sheetViews>
  <sheetFormatPr defaultRowHeight="14.4" x14ac:dyDescent="0.3"/>
  <cols>
    <col min="2" max="2" width="24.6640625" bestFit="1" customWidth="1"/>
    <col min="3" max="3" width="12" bestFit="1" customWidth="1"/>
    <col min="4" max="6" width="11.33203125" bestFit="1" customWidth="1"/>
    <col min="7" max="7" width="11.6640625" bestFit="1" customWidth="1"/>
    <col min="8" max="8" width="9.109375" customWidth="1"/>
    <col min="9" max="10" width="11" bestFit="1" customWidth="1"/>
    <col min="11" max="11" width="9.5546875" bestFit="1" customWidth="1"/>
  </cols>
  <sheetData>
    <row r="2" spans="2:8" x14ac:dyDescent="0.3">
      <c r="B2" s="4"/>
      <c r="C2" s="24" t="s">
        <v>393</v>
      </c>
      <c r="D2" s="24" t="s">
        <v>423</v>
      </c>
      <c r="E2" s="24" t="s">
        <v>193</v>
      </c>
    </row>
    <row r="3" spans="2:8" x14ac:dyDescent="0.3">
      <c r="B3" s="2" t="s">
        <v>376</v>
      </c>
      <c r="C3" s="69">
        <f>Main!C23</f>
        <v>94.2</v>
      </c>
      <c r="D3" s="23" t="str">
        <f>_xlfn.CONCAT(Main!D23)</f>
        <v>kΩ</v>
      </c>
      <c r="E3" s="23">
        <v>1</v>
      </c>
    </row>
    <row r="4" spans="2:8" x14ac:dyDescent="0.3">
      <c r="B4" s="2" t="s">
        <v>399</v>
      </c>
      <c r="C4" s="23">
        <f>Main!C24</f>
        <v>4.99</v>
      </c>
      <c r="D4" s="23" t="str">
        <f>Main!D24</f>
        <v>kΩ</v>
      </c>
      <c r="E4" s="23">
        <v>1</v>
      </c>
    </row>
    <row r="5" spans="2:8" x14ac:dyDescent="0.3">
      <c r="B5" s="2" t="s">
        <v>384</v>
      </c>
      <c r="C5" s="23">
        <f>ROUNDUP(Main!C26,2)</f>
        <v>3.32</v>
      </c>
      <c r="D5" s="23" t="str">
        <f>Main!D26</f>
        <v>kΩ</v>
      </c>
      <c r="E5" s="23">
        <v>1</v>
      </c>
    </row>
    <row r="6" spans="2:8" x14ac:dyDescent="0.3">
      <c r="B6" s="2" t="s">
        <v>385</v>
      </c>
      <c r="C6" s="23">
        <f>Main!C30</f>
        <v>2</v>
      </c>
      <c r="D6" s="23" t="str">
        <f>Main!D30</f>
        <v>mΩ</v>
      </c>
      <c r="E6" s="23">
        <f>Main!C14</f>
        <v>2</v>
      </c>
    </row>
    <row r="7" spans="2:8" x14ac:dyDescent="0.3">
      <c r="B7" s="2" t="s">
        <v>386</v>
      </c>
      <c r="C7" s="23">
        <f>Main!C37</f>
        <v>220</v>
      </c>
      <c r="D7" s="23" t="str">
        <f>Main!D37</f>
        <v>nH</v>
      </c>
      <c r="E7" s="23">
        <f>Main!C14</f>
        <v>2</v>
      </c>
    </row>
    <row r="8" spans="2:8" x14ac:dyDescent="0.3">
      <c r="B8" s="2" t="s">
        <v>387</v>
      </c>
      <c r="C8" s="70">
        <f>ROUNDUP(Main!G21,2)</f>
        <v>603.02</v>
      </c>
      <c r="D8" s="23" t="str">
        <f>Main!H21</f>
        <v>Ω</v>
      </c>
      <c r="E8" s="22">
        <f>Main!C15</f>
        <v>1</v>
      </c>
    </row>
    <row r="9" spans="2:8" x14ac:dyDescent="0.3">
      <c r="B9" s="2" t="s">
        <v>388</v>
      </c>
      <c r="C9" s="66">
        <f>ROUNDUP(Main!G22, 1)</f>
        <v>69.199999999999989</v>
      </c>
      <c r="D9" s="23" t="str">
        <f>Main!H22</f>
        <v>nF</v>
      </c>
      <c r="E9" s="22">
        <f>Main!C15</f>
        <v>1</v>
      </c>
    </row>
    <row r="10" spans="2:8" x14ac:dyDescent="0.3">
      <c r="B10" s="2" t="s">
        <v>389</v>
      </c>
      <c r="C10" s="66">
        <f>Main!G26</f>
        <v>4.22</v>
      </c>
      <c r="D10" s="23" t="str">
        <f>Main!H25</f>
        <v>kΩ</v>
      </c>
      <c r="E10" s="23">
        <v>1</v>
      </c>
    </row>
    <row r="11" spans="2:8" x14ac:dyDescent="0.3">
      <c r="B11" s="2" t="s">
        <v>391</v>
      </c>
      <c r="C11" s="66">
        <f>Main!G34</f>
        <v>9.8750543471435588</v>
      </c>
      <c r="D11" s="23" t="str">
        <f>Main!H34</f>
        <v>nF</v>
      </c>
      <c r="E11" s="23">
        <v>1</v>
      </c>
    </row>
    <row r="12" spans="2:8" x14ac:dyDescent="0.3">
      <c r="B12" s="2" t="s">
        <v>390</v>
      </c>
      <c r="C12" s="66">
        <f>Main!G33</f>
        <v>312.7962085308057</v>
      </c>
      <c r="D12" s="23" t="str">
        <f>Main!H33</f>
        <v>pF</v>
      </c>
      <c r="E12" s="23">
        <v>1</v>
      </c>
    </row>
    <row r="13" spans="2:8" x14ac:dyDescent="0.3">
      <c r="B13" s="2" t="s">
        <v>392</v>
      </c>
      <c r="C13" s="66">
        <f>Main!G37</f>
        <v>14.654909819639272</v>
      </c>
      <c r="D13" s="23" t="str">
        <f>Main!H37</f>
        <v>nF</v>
      </c>
      <c r="E13" s="22">
        <f>Main!C15</f>
        <v>1</v>
      </c>
    </row>
    <row r="14" spans="2:8" x14ac:dyDescent="0.3">
      <c r="B14" s="2" t="s">
        <v>418</v>
      </c>
      <c r="C14" s="66">
        <f>Main!G42</f>
        <v>10.256410256410255</v>
      </c>
      <c r="D14" s="66" t="str">
        <f>Main!H42</f>
        <v>kΩ</v>
      </c>
      <c r="E14" s="22">
        <f>Main!C15</f>
        <v>1</v>
      </c>
    </row>
    <row r="15" spans="2:8" x14ac:dyDescent="0.3">
      <c r="B15" s="1"/>
    </row>
    <row r="16" spans="2:8" x14ac:dyDescent="0.3">
      <c r="B16" s="4"/>
      <c r="C16" s="2" t="s">
        <v>394</v>
      </c>
      <c r="D16" s="2" t="s">
        <v>395</v>
      </c>
      <c r="E16" s="2" t="s">
        <v>396</v>
      </c>
      <c r="F16" s="2" t="s">
        <v>397</v>
      </c>
      <c r="G16" s="2" t="s">
        <v>398</v>
      </c>
      <c r="H16" s="2" t="s">
        <v>84</v>
      </c>
    </row>
    <row r="17" spans="2:8" x14ac:dyDescent="0.3">
      <c r="B17" s="2" t="s">
        <v>400</v>
      </c>
      <c r="C17" s="4">
        <f>'COUT Network Design'!C37</f>
        <v>220</v>
      </c>
      <c r="D17" s="4">
        <f>IF('COUT Network Design'!$C$50="Yes", 'COUT Network Design'!C51, "")</f>
        <v>4.7E-2</v>
      </c>
      <c r="E17" s="4">
        <f>IF('COUT Network Design'!C64="Yes", 'COUT Network Design'!C65, "")</f>
        <v>1</v>
      </c>
      <c r="F17" s="4" t="str">
        <f>IF('COUT Network Design'!C78="Yes", 'COUT Network Design'!C79, "")</f>
        <v/>
      </c>
      <c r="G17" s="4" t="str">
        <f>IF('COUT Network Design'!$C$92="Yes", 'COUT Network Design'!C93, "")</f>
        <v/>
      </c>
      <c r="H17" s="4"/>
    </row>
    <row r="18" spans="2:8" x14ac:dyDescent="0.3">
      <c r="B18" s="2" t="s">
        <v>85</v>
      </c>
      <c r="C18" s="4">
        <f>'COUT Network Design'!C38</f>
        <v>6</v>
      </c>
      <c r="D18" s="4">
        <f>IF('COUT Network Design'!$C$50="Yes", 'COUT Network Design'!C52, "")</f>
        <v>10</v>
      </c>
      <c r="E18" s="4">
        <f>IF('COUT Network Design'!$C$64="Yes", 'COUT Network Design'!C66, "")</f>
        <v>10</v>
      </c>
      <c r="F18" s="4" t="str">
        <f>IF('COUT Network Design'!$C$78="Yes", 'COUT Network Design'!C80, "")</f>
        <v/>
      </c>
      <c r="G18" s="4" t="str">
        <f>IF('COUT Network Design'!$C$92="Yes", 'COUT Network Design'!C94, "")</f>
        <v/>
      </c>
      <c r="H18" s="4"/>
    </row>
    <row r="19" spans="2:8" x14ac:dyDescent="0.3">
      <c r="B19" s="2" t="s">
        <v>86</v>
      </c>
      <c r="C19" s="4">
        <f>'COUT Network Design'!C39</f>
        <v>5</v>
      </c>
      <c r="D19" s="4">
        <f>IF('COUT Network Design'!$C$50="Yes", 'COUT Network Design'!C53, "")</f>
        <v>0.6</v>
      </c>
      <c r="E19" s="4">
        <f>IF('COUT Network Design'!$C$64="Yes", 'COUT Network Design'!C67, "")</f>
        <v>0.6</v>
      </c>
      <c r="F19" s="4" t="str">
        <f>IF('COUT Network Design'!$C$78="Yes", 'COUT Network Design'!C81, "")</f>
        <v/>
      </c>
      <c r="G19" s="4" t="str">
        <f>IF('COUT Network Design'!$C$92="Yes", 'COUT Network Design'!C95, "")</f>
        <v/>
      </c>
      <c r="H19" s="4"/>
    </row>
    <row r="20" spans="2:8" x14ac:dyDescent="0.3">
      <c r="B20" s="2" t="s">
        <v>62</v>
      </c>
      <c r="C20" s="4">
        <f>'COUT Network Design'!C40</f>
        <v>12</v>
      </c>
      <c r="D20" s="4">
        <f>IF('COUT Network Design'!$C$50="Yes", 'COUT Network Design'!C54, "")</f>
        <v>40</v>
      </c>
      <c r="E20" s="4">
        <f>IF('COUT Network Design'!$C$64="Yes", 'COUT Network Design'!C68, "")</f>
        <v>40</v>
      </c>
      <c r="F20" s="4" t="str">
        <f>IF('COUT Network Design'!$C$78="Yes", 'COUT Network Design'!C82, "")</f>
        <v/>
      </c>
      <c r="G20" s="4" t="str">
        <f>IF('COUT Network Design'!$C$92="Yes", 'COUT Network Design'!C96, "")</f>
        <v/>
      </c>
      <c r="H20" s="4">
        <f>SUM(C20:G20)</f>
        <v>92</v>
      </c>
    </row>
    <row r="21" spans="2:8" x14ac:dyDescent="0.3">
      <c r="B21" s="2" t="s">
        <v>63</v>
      </c>
      <c r="C21" s="4">
        <f>'COUT Network Design'!C41</f>
        <v>24</v>
      </c>
      <c r="D21" s="4">
        <f>IF('COUT Network Design'!$C$50="Yes", 'COUT Network Design'!C55, "")</f>
        <v>80</v>
      </c>
      <c r="E21" s="4">
        <f>IF('COUT Network Design'!$C$64="Yes", 'COUT Network Design'!C69, "")</f>
        <v>80</v>
      </c>
      <c r="F21" s="4" t="str">
        <f>IF('COUT Network Design'!$C$78="Yes", 'COUT Network Design'!C83, "")</f>
        <v/>
      </c>
      <c r="G21" s="4" t="str">
        <f>IF('COUT Network Design'!$C$92="Yes", 'COUT Network Design'!C97, "")</f>
        <v/>
      </c>
      <c r="H21" s="4">
        <f>SUM(C21:G21)</f>
        <v>184</v>
      </c>
    </row>
    <row r="22" spans="2:8" x14ac:dyDescent="0.3">
      <c r="B22" s="1"/>
    </row>
    <row r="23" spans="2:8" x14ac:dyDescent="0.3">
      <c r="B23" s="4"/>
      <c r="C23" s="2" t="s">
        <v>403</v>
      </c>
      <c r="D23" s="2" t="s">
        <v>404</v>
      </c>
      <c r="E23" s="2" t="s">
        <v>405</v>
      </c>
      <c r="F23" s="2" t="s">
        <v>84</v>
      </c>
    </row>
    <row r="24" spans="2:8" x14ac:dyDescent="0.3">
      <c r="B24" s="2" t="s">
        <v>400</v>
      </c>
      <c r="C24" s="4">
        <f>'CIN Network Design'!C59</f>
        <v>4.7</v>
      </c>
      <c r="D24" s="4" t="str">
        <f>IF('CIN Network Design'!$C$69="Yes", 'CIN Network Design'!C70, "")</f>
        <v/>
      </c>
      <c r="E24" s="4">
        <f>IF('CIN Network Design'!$C$80="Yes", 'CIN Network Design'!C81, "")</f>
        <v>4.7E-2</v>
      </c>
      <c r="F24" s="4"/>
    </row>
    <row r="25" spans="2:8" x14ac:dyDescent="0.3">
      <c r="B25" s="2" t="s">
        <v>85</v>
      </c>
      <c r="C25" s="4">
        <f>'CIN Network Design'!C60</f>
        <v>10</v>
      </c>
      <c r="D25" s="4" t="str">
        <f>IF('CIN Network Design'!$C$69="Yes", 'CIN Network Design'!C71, "")</f>
        <v/>
      </c>
      <c r="E25" s="4">
        <f>IF('CIN Network Design'!$C$80="Yes", 'CIN Network Design'!C82, "")</f>
        <v>10</v>
      </c>
      <c r="F25" s="4"/>
    </row>
    <row r="26" spans="2:8" x14ac:dyDescent="0.3">
      <c r="B26" s="2" t="s">
        <v>86</v>
      </c>
      <c r="C26" s="4">
        <f>'CIN Network Design'!C61</f>
        <v>0.6</v>
      </c>
      <c r="D26" s="4" t="str">
        <f>IF('CIN Network Design'!$C$69="Yes", 'CIN Network Design'!C72, "")</f>
        <v/>
      </c>
      <c r="E26" s="4">
        <f>IF('CIN Network Design'!$C$80="Yes", 'CIN Network Design'!C83, "")</f>
        <v>0.6</v>
      </c>
      <c r="F26" s="4"/>
    </row>
    <row r="27" spans="2:8" ht="15.6" x14ac:dyDescent="0.35">
      <c r="B27" s="2" t="s">
        <v>402</v>
      </c>
      <c r="C27" s="25">
        <f>ROUNDUP('CIN Network Design'!C111,3)</f>
        <v>0.309</v>
      </c>
      <c r="D27" s="4" t="str">
        <f>IF('CIN Network Design'!C69="Yes",ROUNDUP('CIN Network Design'!C112,3),"")</f>
        <v/>
      </c>
      <c r="E27" s="4">
        <f>IF('CIN Network Design'!C80="Yes",ROUNDUP('CIN Network Design'!C113,3),"")</f>
        <v>4.0000000000000001E-3</v>
      </c>
      <c r="F27" s="4"/>
    </row>
    <row r="28" spans="2:8" x14ac:dyDescent="0.3">
      <c r="B28" s="2" t="s">
        <v>75</v>
      </c>
      <c r="C28" s="4">
        <f>'CIN Network Design'!C62</f>
        <v>14</v>
      </c>
      <c r="D28" s="4" t="str">
        <f>IF('CIN Network Design'!$C$69="Yes", 'CIN Network Design'!C73, "")</f>
        <v/>
      </c>
      <c r="E28" s="4">
        <f>IF('CIN Network Design'!$C$80="Yes", 'CIN Network Design'!C84, "")</f>
        <v>20</v>
      </c>
      <c r="F28" s="4">
        <f>SUM(C28:E28)</f>
        <v>34</v>
      </c>
    </row>
    <row r="29" spans="2:8" x14ac:dyDescent="0.3">
      <c r="B29" s="2" t="s">
        <v>63</v>
      </c>
      <c r="C29" s="4">
        <f>'CIN Network Design'!C63</f>
        <v>28</v>
      </c>
      <c r="D29" s="4" t="str">
        <f>IF('CIN Network Design'!$C$69="Yes", 'CIN Network Design'!C74, "")</f>
        <v/>
      </c>
      <c r="E29" s="4">
        <f>IF('CIN Network Design'!$C$80="Yes", 'CIN Network Design'!C85, "")</f>
        <v>40</v>
      </c>
      <c r="F29" s="4">
        <f>SUM(C29:E29)</f>
        <v>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0D8B8A-E76C-4864-8FA0-692CFD067E03}">
  <dimension ref="A1:E19"/>
  <sheetViews>
    <sheetView zoomScale="80" zoomScaleNormal="80" workbookViewId="0">
      <selection activeCell="H24" sqref="H24"/>
    </sheetView>
  </sheetViews>
  <sheetFormatPr defaultRowHeight="14.4" x14ac:dyDescent="0.3"/>
  <cols>
    <col min="2" max="2" width="52.33203125" bestFit="1" customWidth="1"/>
    <col min="3" max="3" width="21.88671875" customWidth="1"/>
    <col min="5" max="5" width="18.33203125" bestFit="1" customWidth="1"/>
  </cols>
  <sheetData>
    <row r="1" spans="1:5" x14ac:dyDescent="0.3">
      <c r="A1" s="55"/>
      <c r="B1" s="7" t="s">
        <v>44</v>
      </c>
    </row>
    <row r="2" spans="1:5" x14ac:dyDescent="0.3">
      <c r="A2" s="43"/>
      <c r="B2" s="7" t="s">
        <v>45</v>
      </c>
    </row>
    <row r="4" spans="1:5" x14ac:dyDescent="0.3">
      <c r="B4" s="18" t="s">
        <v>121</v>
      </c>
    </row>
    <row r="5" spans="1:5" ht="15.6" x14ac:dyDescent="0.35">
      <c r="B5" s="2" t="s">
        <v>17</v>
      </c>
      <c r="C5" s="55">
        <v>0.6</v>
      </c>
      <c r="D5" s="3" t="s">
        <v>0</v>
      </c>
      <c r="E5" s="4" t="s">
        <v>55</v>
      </c>
    </row>
    <row r="6" spans="1:5" ht="15.6" x14ac:dyDescent="0.35">
      <c r="B6" s="2" t="s">
        <v>18</v>
      </c>
      <c r="C6" s="55">
        <v>4</v>
      </c>
      <c r="D6" s="3" t="s">
        <v>16</v>
      </c>
      <c r="E6" s="4" t="s">
        <v>54</v>
      </c>
    </row>
    <row r="7" spans="1:5" ht="15.6" x14ac:dyDescent="0.35">
      <c r="B7" s="2" t="s">
        <v>15</v>
      </c>
      <c r="C7" s="55">
        <v>8</v>
      </c>
      <c r="D7" s="3" t="s">
        <v>14</v>
      </c>
      <c r="E7" s="4" t="s">
        <v>55</v>
      </c>
    </row>
    <row r="8" spans="1:5" ht="15.6" x14ac:dyDescent="0.35">
      <c r="B8" s="2" t="s">
        <v>410</v>
      </c>
      <c r="C8" s="55">
        <v>0.39</v>
      </c>
      <c r="D8" s="3" t="s">
        <v>411</v>
      </c>
      <c r="E8" s="4" t="s">
        <v>55</v>
      </c>
    </row>
    <row r="9" spans="1:5" ht="15.6" x14ac:dyDescent="0.35">
      <c r="B9" s="2" t="s">
        <v>24</v>
      </c>
      <c r="C9" s="55">
        <v>0.4</v>
      </c>
      <c r="D9" s="3" t="s">
        <v>0</v>
      </c>
      <c r="E9" s="4" t="s">
        <v>55</v>
      </c>
    </row>
    <row r="10" spans="1:5" ht="15.6" x14ac:dyDescent="0.35">
      <c r="B10" s="2" t="s">
        <v>139</v>
      </c>
      <c r="C10" s="55">
        <v>135</v>
      </c>
      <c r="D10" s="3" t="s">
        <v>53</v>
      </c>
      <c r="E10" s="4" t="s">
        <v>54</v>
      </c>
    </row>
    <row r="11" spans="1:5" ht="15.6" x14ac:dyDescent="0.35">
      <c r="B11" s="2" t="s">
        <v>140</v>
      </c>
      <c r="C11" s="55">
        <v>135</v>
      </c>
      <c r="D11" s="3" t="s">
        <v>53</v>
      </c>
      <c r="E11" s="4" t="s">
        <v>54</v>
      </c>
    </row>
    <row r="12" spans="1:5" ht="15.6" x14ac:dyDescent="0.35">
      <c r="B12" s="2" t="s">
        <v>35</v>
      </c>
      <c r="C12" s="55">
        <v>50</v>
      </c>
      <c r="D12" s="4" t="s">
        <v>20</v>
      </c>
      <c r="E12" s="4" t="s">
        <v>55</v>
      </c>
    </row>
    <row r="13" spans="1:5" x14ac:dyDescent="0.3">
      <c r="B13" s="19" t="s">
        <v>57</v>
      </c>
      <c r="C13" s="55">
        <v>75</v>
      </c>
      <c r="D13" s="20" t="s">
        <v>20</v>
      </c>
      <c r="E13" s="4" t="s">
        <v>55</v>
      </c>
    </row>
    <row r="14" spans="1:5" ht="15.6" x14ac:dyDescent="0.35">
      <c r="B14" s="2" t="s">
        <v>28</v>
      </c>
      <c r="C14" s="55">
        <v>19.899999999999999</v>
      </c>
      <c r="D14" s="10" t="s">
        <v>23</v>
      </c>
      <c r="E14" s="4" t="s">
        <v>59</v>
      </c>
    </row>
    <row r="15" spans="1:5" ht="15.6" x14ac:dyDescent="0.35">
      <c r="B15" s="2" t="s">
        <v>32</v>
      </c>
      <c r="C15" s="58">
        <v>10</v>
      </c>
      <c r="D15" s="10" t="s">
        <v>23</v>
      </c>
      <c r="E15" s="4" t="s">
        <v>55</v>
      </c>
    </row>
    <row r="16" spans="1:5" x14ac:dyDescent="0.3">
      <c r="B16" s="2" t="s">
        <v>321</v>
      </c>
      <c r="C16" s="55">
        <v>205</v>
      </c>
      <c r="D16" s="3" t="s">
        <v>322</v>
      </c>
      <c r="E16" s="4"/>
    </row>
    <row r="17" spans="2:5" x14ac:dyDescent="0.3">
      <c r="B17" s="2" t="s">
        <v>323</v>
      </c>
      <c r="C17" s="55">
        <v>94.2</v>
      </c>
      <c r="D17" s="3" t="s">
        <v>322</v>
      </c>
      <c r="E17" s="4"/>
    </row>
    <row r="18" spans="2:5" x14ac:dyDescent="0.3">
      <c r="B18" s="2" t="s">
        <v>324</v>
      </c>
      <c r="C18" s="55">
        <v>37</v>
      </c>
      <c r="D18" s="3" t="s">
        <v>322</v>
      </c>
      <c r="E18" s="4"/>
    </row>
    <row r="19" spans="2:5" x14ac:dyDescent="0.3">
      <c r="B19" s="2" t="s">
        <v>325</v>
      </c>
      <c r="C19" s="55">
        <v>16.7</v>
      </c>
      <c r="D19" s="3" t="s">
        <v>322</v>
      </c>
      <c r="E19" s="4"/>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FF9657-DF8C-4450-B8D8-DACC7EBD64B1}">
  <dimension ref="B2:AY119"/>
  <sheetViews>
    <sheetView workbookViewId="0">
      <selection activeCell="C13" sqref="C13"/>
    </sheetView>
  </sheetViews>
  <sheetFormatPr defaultRowHeight="14.4" x14ac:dyDescent="0.3"/>
  <cols>
    <col min="2" max="2" width="54.6640625" bestFit="1" customWidth="1"/>
    <col min="3" max="3" width="22.33203125" customWidth="1"/>
    <col min="5" max="5" width="19.6640625" bestFit="1" customWidth="1"/>
    <col min="6" max="16" width="19.6640625" customWidth="1"/>
    <col min="17" max="17" width="14.33203125" bestFit="1" customWidth="1"/>
    <col min="18" max="18" width="20.88671875" bestFit="1" customWidth="1"/>
    <col min="19" max="19" width="14.109375" bestFit="1" customWidth="1"/>
    <col min="20" max="20" width="12.88671875" bestFit="1" customWidth="1"/>
    <col min="21" max="21" width="13.6640625" bestFit="1" customWidth="1"/>
    <col min="23" max="23" width="23" bestFit="1" customWidth="1"/>
    <col min="24" max="24" width="12.88671875" bestFit="1" customWidth="1"/>
    <col min="25" max="25" width="12.109375" bestFit="1" customWidth="1"/>
    <col min="26" max="26" width="16.33203125" bestFit="1" customWidth="1"/>
    <col min="28" max="28" width="21.5546875" bestFit="1" customWidth="1"/>
    <col min="29" max="29" width="15.109375" bestFit="1" customWidth="1"/>
    <col min="30" max="30" width="12.109375" bestFit="1" customWidth="1"/>
    <col min="31" max="31" width="16.6640625" bestFit="1" customWidth="1"/>
    <col min="33" max="33" width="24" bestFit="1" customWidth="1"/>
    <col min="34" max="34" width="12.88671875" bestFit="1" customWidth="1"/>
    <col min="35" max="35" width="12.109375" bestFit="1" customWidth="1"/>
    <col min="36" max="36" width="17.88671875" bestFit="1" customWidth="1"/>
    <col min="38" max="38" width="25" bestFit="1" customWidth="1"/>
    <col min="39" max="39" width="14.109375" bestFit="1" customWidth="1"/>
    <col min="40" max="40" width="10.5546875" bestFit="1" customWidth="1"/>
    <col min="41" max="41" width="18.88671875" bestFit="1" customWidth="1"/>
    <col min="43" max="43" width="26.109375" bestFit="1" customWidth="1"/>
    <col min="44" max="44" width="14.109375" bestFit="1" customWidth="1"/>
    <col min="45" max="45" width="10.5546875" bestFit="1" customWidth="1"/>
    <col min="46" max="46" width="19.88671875" bestFit="1" customWidth="1"/>
    <col min="48" max="48" width="27.109375" bestFit="1" customWidth="1"/>
    <col min="49" max="49" width="14.109375" bestFit="1" customWidth="1"/>
    <col min="50" max="50" width="10.5546875" bestFit="1" customWidth="1"/>
    <col min="51" max="51" width="18.88671875" bestFit="1" customWidth="1"/>
  </cols>
  <sheetData>
    <row r="2" spans="2:51" x14ac:dyDescent="0.3">
      <c r="D2" s="55"/>
      <c r="E2" s="7" t="s">
        <v>44</v>
      </c>
      <c r="F2" s="7"/>
      <c r="G2" s="7"/>
      <c r="H2" s="7"/>
      <c r="I2" s="7"/>
      <c r="J2" s="7"/>
      <c r="K2" s="7"/>
      <c r="L2" s="7"/>
      <c r="M2" s="7"/>
      <c r="N2" s="7"/>
      <c r="O2" s="7"/>
      <c r="P2" s="7"/>
    </row>
    <row r="3" spans="2:51" x14ac:dyDescent="0.3">
      <c r="D3" s="43"/>
      <c r="E3" s="7" t="s">
        <v>45</v>
      </c>
      <c r="F3" s="7"/>
      <c r="G3" s="7"/>
      <c r="H3" s="7"/>
      <c r="I3" s="7"/>
      <c r="J3" s="7"/>
      <c r="K3" s="7"/>
      <c r="L3" s="7"/>
      <c r="M3" s="7"/>
      <c r="N3" s="7"/>
      <c r="O3" s="7"/>
      <c r="P3" s="7"/>
      <c r="R3" t="str">
        <f>_xlfn.CONCAT($C$5,"µF")</f>
        <v>100µF</v>
      </c>
      <c r="S3" t="s">
        <v>271</v>
      </c>
      <c r="W3" t="str">
        <f>_xlfn.CONCAT($C$14,"µF")</f>
        <v>10µF</v>
      </c>
      <c r="X3" t="s">
        <v>272</v>
      </c>
      <c r="AB3" t="str">
        <f>_xlfn.CONCAT($C$23,"µF")</f>
        <v>1µF</v>
      </c>
      <c r="AC3" t="s">
        <v>273</v>
      </c>
      <c r="AG3" t="str">
        <f>_xlfn.CONCAT($C$32,"µF")</f>
        <v>0.1µF</v>
      </c>
      <c r="AH3" t="s">
        <v>274</v>
      </c>
      <c r="AL3" t="str">
        <f>_xlfn.CONCAT($C$41,"µF")</f>
        <v>0.01µF</v>
      </c>
      <c r="AM3" t="s">
        <v>275</v>
      </c>
      <c r="AQ3" t="str">
        <f>_xlfn.CONCAT($C$50,"µF")</f>
        <v>0.001µF</v>
      </c>
      <c r="AR3" t="s">
        <v>276</v>
      </c>
      <c r="AV3" t="str">
        <f>_xlfn.CONCAT($C$59,"µF")</f>
        <v>0.0001µF</v>
      </c>
    </row>
    <row r="4" spans="2:51" x14ac:dyDescent="0.3">
      <c r="E4" s="7"/>
      <c r="F4" s="7"/>
      <c r="G4" s="7"/>
      <c r="H4" s="7"/>
      <c r="I4" s="7"/>
      <c r="J4" s="7"/>
      <c r="K4" s="7"/>
      <c r="L4" s="7"/>
      <c r="M4" s="7"/>
      <c r="N4" s="7"/>
      <c r="O4" s="7"/>
      <c r="P4" s="7"/>
      <c r="R4" s="14" t="s">
        <v>26</v>
      </c>
      <c r="S4" s="14" t="s">
        <v>26</v>
      </c>
      <c r="T4" s="14" t="s">
        <v>26</v>
      </c>
      <c r="U4" s="14" t="s">
        <v>26</v>
      </c>
      <c r="W4" s="14" t="s">
        <v>26</v>
      </c>
      <c r="X4" s="14" t="s">
        <v>26</v>
      </c>
      <c r="Y4" s="14" t="s">
        <v>26</v>
      </c>
      <c r="Z4" s="14" t="s">
        <v>26</v>
      </c>
      <c r="AB4" s="14" t="s">
        <v>26</v>
      </c>
      <c r="AC4" s="14" t="s">
        <v>26</v>
      </c>
      <c r="AD4" s="14" t="s">
        <v>26</v>
      </c>
      <c r="AE4" s="14" t="s">
        <v>26</v>
      </c>
      <c r="AG4" s="14" t="s">
        <v>26</v>
      </c>
      <c r="AH4" s="14" t="s">
        <v>26</v>
      </c>
      <c r="AI4" s="14" t="s">
        <v>26</v>
      </c>
      <c r="AJ4" s="14" t="s">
        <v>26</v>
      </c>
      <c r="AL4" s="14" t="s">
        <v>26</v>
      </c>
      <c r="AM4" s="14" t="s">
        <v>26</v>
      </c>
      <c r="AN4" s="14" t="s">
        <v>26</v>
      </c>
      <c r="AO4" s="14" t="s">
        <v>26</v>
      </c>
      <c r="AQ4" s="14" t="s">
        <v>26</v>
      </c>
      <c r="AR4" s="14" t="s">
        <v>26</v>
      </c>
      <c r="AS4" s="14" t="s">
        <v>26</v>
      </c>
      <c r="AT4" s="14" t="s">
        <v>26</v>
      </c>
      <c r="AV4" s="14" t="s">
        <v>26</v>
      </c>
      <c r="AW4" s="14" t="s">
        <v>26</v>
      </c>
      <c r="AX4" s="14" t="s">
        <v>26</v>
      </c>
      <c r="AY4" s="14" t="s">
        <v>26</v>
      </c>
    </row>
    <row r="5" spans="2:51" ht="15.6" x14ac:dyDescent="0.35">
      <c r="B5" s="2" t="s">
        <v>194</v>
      </c>
      <c r="C5" s="55">
        <v>100</v>
      </c>
      <c r="D5" s="10" t="s">
        <v>8</v>
      </c>
      <c r="Q5" s="24" t="s">
        <v>97</v>
      </c>
      <c r="R5" s="24" t="s">
        <v>204</v>
      </c>
      <c r="S5" s="24" t="s">
        <v>203</v>
      </c>
      <c r="T5" s="24" t="s">
        <v>202</v>
      </c>
      <c r="U5" s="24" t="s">
        <v>201</v>
      </c>
      <c r="V5" s="1"/>
      <c r="W5" s="24" t="s">
        <v>249</v>
      </c>
      <c r="X5" s="24" t="s">
        <v>248</v>
      </c>
      <c r="Y5" s="24" t="s">
        <v>247</v>
      </c>
      <c r="Z5" s="24" t="s">
        <v>250</v>
      </c>
      <c r="AA5" s="1"/>
      <c r="AB5" s="24" t="s">
        <v>251</v>
      </c>
      <c r="AC5" s="24" t="s">
        <v>252</v>
      </c>
      <c r="AD5" s="24" t="s">
        <v>253</v>
      </c>
      <c r="AE5" s="24" t="s">
        <v>254</v>
      </c>
      <c r="AF5" s="1"/>
      <c r="AG5" s="24" t="s">
        <v>255</v>
      </c>
      <c r="AH5" s="24" t="s">
        <v>256</v>
      </c>
      <c r="AI5" s="24" t="s">
        <v>257</v>
      </c>
      <c r="AJ5" s="24" t="s">
        <v>258</v>
      </c>
      <c r="AK5" s="1"/>
      <c r="AL5" s="24" t="s">
        <v>259</v>
      </c>
      <c r="AM5" s="24" t="s">
        <v>260</v>
      </c>
      <c r="AN5" s="24" t="s">
        <v>261</v>
      </c>
      <c r="AO5" s="24" t="s">
        <v>262</v>
      </c>
      <c r="AQ5" s="24" t="s">
        <v>263</v>
      </c>
      <c r="AR5" s="24" t="s">
        <v>264</v>
      </c>
      <c r="AS5" s="24" t="s">
        <v>265</v>
      </c>
      <c r="AT5" s="24" t="s">
        <v>266</v>
      </c>
      <c r="AV5" s="24" t="s">
        <v>267</v>
      </c>
      <c r="AW5" s="24" t="s">
        <v>268</v>
      </c>
      <c r="AX5" s="24" t="s">
        <v>269</v>
      </c>
      <c r="AY5" s="24" t="s">
        <v>270</v>
      </c>
    </row>
    <row r="6" spans="2:51" x14ac:dyDescent="0.3">
      <c r="B6" s="2" t="s">
        <v>195</v>
      </c>
      <c r="C6" s="55">
        <v>0</v>
      </c>
      <c r="D6" s="4" t="s">
        <v>21</v>
      </c>
      <c r="Q6" s="22">
        <v>1</v>
      </c>
      <c r="R6" s="26">
        <f>1000/(2*PI()*$Q6*$C$5*0.000001)</f>
        <v>1591549.4309189534</v>
      </c>
      <c r="S6" s="27">
        <f>2*PI()*$Q6*((0.000000001*$C$7))*1000</f>
        <v>3.1415926535897928E-5</v>
      </c>
      <c r="T6" s="28">
        <f>($C$6)</f>
        <v>0</v>
      </c>
      <c r="U6" s="29">
        <f>SQRT(T6^(2)+ABS(R6-S6)^(2))</f>
        <v>1591549.4308875375</v>
      </c>
      <c r="W6" s="26">
        <f t="shared" ref="W6:W37" si="0">1000/(2*PI()*$Q6*$C$14*0.000001)</f>
        <v>15915494.309189536</v>
      </c>
      <c r="X6" s="27">
        <f t="shared" ref="X6:X37" si="1">2*PI()*$Q6*((0.000000001*$C$16))*1000</f>
        <v>8.1681408993334625E-6</v>
      </c>
      <c r="Y6" s="29">
        <f t="shared" ref="Y6:Y37" si="2">($C$15)</f>
        <v>0</v>
      </c>
      <c r="Z6" s="29">
        <f>SQRT(Y6^(2)+ABS(W6-X6)^(2))</f>
        <v>15915494.309181368</v>
      </c>
      <c r="AB6" s="26">
        <f t="shared" ref="AB6:AB37" si="3">1000/(2*PI()*$Q6*$C$26*$C$23*0.000001)</f>
        <v>159154943.09189534</v>
      </c>
      <c r="AC6" s="27">
        <f t="shared" ref="AC6:AC37" si="4">2*PI()*$Q6*((0.000000001*$C$25)/$C$26)*1000</f>
        <v>5.6548667764616283E-6</v>
      </c>
      <c r="AD6" s="29">
        <f t="shared" ref="AD6:AD37" si="5">($C$24)/$C$26</f>
        <v>0</v>
      </c>
      <c r="AE6" s="29">
        <f>SQRT(AD6^(2)+ABS(AB6-AC6)^(2))</f>
        <v>159154943.09188968</v>
      </c>
      <c r="AG6" s="26">
        <f t="shared" ref="AG6:AG37" si="6">1000/(2*PI()*$Q6*$C$32*0.000001)</f>
        <v>1591549430.9189534</v>
      </c>
      <c r="AH6" s="27">
        <f t="shared" ref="AH6:AH37" si="7">2*PI()*$Q6*((0.000000001*$C$34))*1000</f>
        <v>4.3982297150257108E-6</v>
      </c>
      <c r="AI6" s="29">
        <f t="shared" ref="AI6:AI37" si="8">($C$33)</f>
        <v>0</v>
      </c>
      <c r="AJ6" s="29">
        <f>SQRT(AI6^(2)+ABS(AG6-AH6)^(2))</f>
        <v>1591549430.9189491</v>
      </c>
      <c r="AL6" s="26">
        <f t="shared" ref="AL6:AL37" si="9">1000/(2*PI()*$Q6*$C$41*0.000001)</f>
        <v>15915494309.189535</v>
      </c>
      <c r="AM6" s="27">
        <f t="shared" ref="AM6:AM37" si="10">2*PI()*$Q6*((0.000000001*$C$43))*1000</f>
        <v>3.7699111843077517E-6</v>
      </c>
      <c r="AN6" s="29">
        <f t="shared" ref="AN6:AN37" si="11">($C$42)</f>
        <v>0</v>
      </c>
      <c r="AO6" s="29">
        <f>SQRT(AN6^(2)+ABS(AL6-AM6)^(2))</f>
        <v>15915494309.189531</v>
      </c>
      <c r="AQ6" s="26">
        <f>1000/(2*PI()*$Q6*$C$50*0.000001)</f>
        <v>159154943091.89532</v>
      </c>
      <c r="AR6" s="27">
        <f>2*PI()*$Q6*((0.000000001*$C$52))*1000</f>
        <v>2.5132741228718346E-6</v>
      </c>
      <c r="AS6" s="29">
        <f>($C$51)</f>
        <v>0</v>
      </c>
      <c r="AT6" s="29">
        <f>SQRT(AS6^(2)+ABS(AQ6-AR6)^(2))</f>
        <v>159154943091.89532</v>
      </c>
      <c r="AV6" s="26">
        <f>1000/(2*PI()*$Q6*$C$59*0.000001)</f>
        <v>1591549430918.9536</v>
      </c>
      <c r="AW6" s="27">
        <f>2*PI()*$Q6*((0.000000001*$C$61))*1000</f>
        <v>6.2831853071795864E-7</v>
      </c>
      <c r="AX6" s="29">
        <f>($C$60)</f>
        <v>0</v>
      </c>
      <c r="AY6" s="29">
        <f>SQRT(AX6^(2)+ABS(AV6-AW6)^(2))</f>
        <v>1591549430918.9536</v>
      </c>
    </row>
    <row r="7" spans="2:51" x14ac:dyDescent="0.3">
      <c r="B7" s="2" t="s">
        <v>196</v>
      </c>
      <c r="C7" s="55">
        <v>5</v>
      </c>
      <c r="D7" s="4" t="s">
        <v>5</v>
      </c>
      <c r="Q7" s="22">
        <v>2</v>
      </c>
      <c r="R7" s="26">
        <f t="shared" ref="R7:R70" si="12">1000/(2*PI()*$Q7*$C$5*0.000001)</f>
        <v>795774.71545947669</v>
      </c>
      <c r="S7" s="27">
        <f t="shared" ref="S7:S70" si="13">2*PI()*$Q7*((0.000000001*$C$7))*1000</f>
        <v>6.2831853071795856E-5</v>
      </c>
      <c r="T7" s="28">
        <f t="shared" ref="T7:T70" si="14">($C$6)</f>
        <v>0</v>
      </c>
      <c r="U7" s="29">
        <f t="shared" ref="U7:U70" si="15">SQRT(T7^(2)+ABS(R7-S7)^(2))</f>
        <v>795774.71539664478</v>
      </c>
      <c r="W7" s="26">
        <f t="shared" si="0"/>
        <v>7957747.1545947678</v>
      </c>
      <c r="X7" s="27">
        <f t="shared" si="1"/>
        <v>1.6336281798666925E-5</v>
      </c>
      <c r="Y7" s="29">
        <f t="shared" si="2"/>
        <v>0</v>
      </c>
      <c r="Z7" s="29">
        <f t="shared" ref="Z7:Z70" si="16">SQRT(Y7^(2)+ABS(W7-X7)^(2))</f>
        <v>7957747.1545784315</v>
      </c>
      <c r="AB7" s="26">
        <f t="shared" si="3"/>
        <v>79577471.545947671</v>
      </c>
      <c r="AC7" s="27">
        <f t="shared" si="4"/>
        <v>1.1309733552923257E-5</v>
      </c>
      <c r="AD7" s="29">
        <f t="shared" si="5"/>
        <v>0</v>
      </c>
      <c r="AE7" s="29">
        <f t="shared" ref="AE7:AE70" si="17">SQRT(AD7^(2)+ABS(AB7-AC7)^(2))</f>
        <v>79577471.545936361</v>
      </c>
      <c r="AG7" s="26">
        <f t="shared" si="6"/>
        <v>795774715.45947671</v>
      </c>
      <c r="AH7" s="27">
        <f t="shared" si="7"/>
        <v>8.7964594300514217E-6</v>
      </c>
      <c r="AI7" s="29">
        <f t="shared" si="8"/>
        <v>0</v>
      </c>
      <c r="AJ7" s="29">
        <f t="shared" ref="AJ7:AJ70" si="18">SQRT(AI7^(2)+ABS(AG7-AH7)^(2))</f>
        <v>795774715.45946789</v>
      </c>
      <c r="AL7" s="26">
        <f t="shared" si="9"/>
        <v>7957747154.5947676</v>
      </c>
      <c r="AM7" s="27">
        <f t="shared" si="10"/>
        <v>7.5398223686155033E-6</v>
      </c>
      <c r="AN7" s="29">
        <f t="shared" si="11"/>
        <v>0</v>
      </c>
      <c r="AO7" s="29">
        <f t="shared" ref="AO7:AO70" si="19">SQRT(AN7^(2)+ABS(AL7-AM7)^(2))</f>
        <v>7957747154.5947599</v>
      </c>
      <c r="AQ7" s="26">
        <f t="shared" ref="AQ7:AQ70" si="20">1000/(2*PI()*$Q7*$C$50*0.000001)</f>
        <v>79577471545.947662</v>
      </c>
      <c r="AR7" s="27">
        <f t="shared" ref="AR7:AR70" si="21">2*PI()*$Q7*((0.000000001*$C$52))*1000</f>
        <v>5.0265482457436692E-6</v>
      </c>
      <c r="AS7" s="29">
        <f t="shared" ref="AS7:AS70" si="22">($C$51)</f>
        <v>0</v>
      </c>
      <c r="AT7" s="29">
        <f t="shared" ref="AT7:AT70" si="23">SQRT(AS7^(2)+ABS(AQ7-AR7)^(2))</f>
        <v>79577471545.947662</v>
      </c>
      <c r="AV7" s="26">
        <f t="shared" ref="AV7:AV70" si="24">1000/(2*PI()*$Q7*$C$59*0.000001)</f>
        <v>795774715459.47681</v>
      </c>
      <c r="AW7" s="27">
        <f t="shared" ref="AW7:AW70" si="25">2*PI()*$Q7*((0.000000001*$C$61))*1000</f>
        <v>1.2566370614359173E-6</v>
      </c>
      <c r="AX7" s="29">
        <f t="shared" ref="AX7:AX70" si="26">($C$60)</f>
        <v>0</v>
      </c>
      <c r="AY7" s="29">
        <f t="shared" ref="AY7:AY70" si="27">SQRT(AX7^(2)+ABS(AV7-AW7)^(2))</f>
        <v>795774715459.47681</v>
      </c>
    </row>
    <row r="8" spans="2:51" x14ac:dyDescent="0.3">
      <c r="B8" s="2" t="s">
        <v>193</v>
      </c>
      <c r="C8" s="55">
        <v>1</v>
      </c>
      <c r="D8" s="4"/>
      <c r="Q8" s="22">
        <v>3</v>
      </c>
      <c r="R8" s="26">
        <f t="shared" si="12"/>
        <v>530516.4769729845</v>
      </c>
      <c r="S8" s="27">
        <f t="shared" si="13"/>
        <v>9.4247779607693798E-5</v>
      </c>
      <c r="T8" s="28">
        <f t="shared" si="14"/>
        <v>0</v>
      </c>
      <c r="U8" s="29">
        <f t="shared" si="15"/>
        <v>530516.47687873675</v>
      </c>
      <c r="W8" s="26">
        <f t="shared" si="0"/>
        <v>5305164.7697298452</v>
      </c>
      <c r="X8" s="27">
        <f t="shared" si="1"/>
        <v>2.4504422698000386E-5</v>
      </c>
      <c r="Y8" s="29">
        <f t="shared" si="2"/>
        <v>0</v>
      </c>
      <c r="Z8" s="29">
        <f t="shared" si="16"/>
        <v>5305164.7697053412</v>
      </c>
      <c r="AB8" s="26">
        <f t="shared" si="3"/>
        <v>53051647.697298445</v>
      </c>
      <c r="AC8" s="27">
        <f t="shared" si="4"/>
        <v>1.6964600329384882E-5</v>
      </c>
      <c r="AD8" s="29">
        <f t="shared" si="5"/>
        <v>0</v>
      </c>
      <c r="AE8" s="29">
        <f t="shared" si="17"/>
        <v>53051647.69728148</v>
      </c>
      <c r="AG8" s="26">
        <f t="shared" si="6"/>
        <v>530516476.97298449</v>
      </c>
      <c r="AH8" s="27">
        <f t="shared" si="7"/>
        <v>1.3194689145077129E-5</v>
      </c>
      <c r="AI8" s="29">
        <f t="shared" si="8"/>
        <v>0</v>
      </c>
      <c r="AJ8" s="29">
        <f t="shared" si="18"/>
        <v>530516476.97297132</v>
      </c>
      <c r="AL8" s="26">
        <f t="shared" si="9"/>
        <v>5305164769.7298441</v>
      </c>
      <c r="AM8" s="27">
        <f t="shared" si="10"/>
        <v>1.1309733552923255E-5</v>
      </c>
      <c r="AN8" s="29">
        <f t="shared" si="11"/>
        <v>0</v>
      </c>
      <c r="AO8" s="29">
        <f t="shared" si="19"/>
        <v>5305164769.7298326</v>
      </c>
      <c r="AQ8" s="26">
        <f t="shared" si="20"/>
        <v>53051647697.298454</v>
      </c>
      <c r="AR8" s="27">
        <f t="shared" si="21"/>
        <v>7.539822368615505E-6</v>
      </c>
      <c r="AS8" s="29">
        <f t="shared" si="22"/>
        <v>0</v>
      </c>
      <c r="AT8" s="29">
        <f t="shared" si="23"/>
        <v>53051647697.298447</v>
      </c>
      <c r="AV8" s="26">
        <f t="shared" si="24"/>
        <v>530516476972.9845</v>
      </c>
      <c r="AW8" s="27">
        <f t="shared" si="25"/>
        <v>1.8849555921538763E-6</v>
      </c>
      <c r="AX8" s="29">
        <f t="shared" si="26"/>
        <v>0</v>
      </c>
      <c r="AY8" s="29">
        <f t="shared" si="27"/>
        <v>530516476972.9845</v>
      </c>
    </row>
    <row r="9" spans="2:51" ht="15.6" x14ac:dyDescent="0.35">
      <c r="B9" s="2" t="s">
        <v>197</v>
      </c>
      <c r="C9" s="43">
        <f>C8*C5</f>
        <v>100</v>
      </c>
      <c r="D9" s="10" t="s">
        <v>8</v>
      </c>
      <c r="Q9" s="22">
        <v>4</v>
      </c>
      <c r="R9" s="26">
        <f t="shared" si="12"/>
        <v>397887.35772973835</v>
      </c>
      <c r="S9" s="27">
        <f t="shared" si="13"/>
        <v>1.2566370614359171E-4</v>
      </c>
      <c r="T9" s="28">
        <f t="shared" si="14"/>
        <v>0</v>
      </c>
      <c r="U9" s="29">
        <f t="shared" si="15"/>
        <v>397887.35760407464</v>
      </c>
      <c r="W9" s="26">
        <f t="shared" si="0"/>
        <v>3978873.5772973839</v>
      </c>
      <c r="X9" s="27">
        <f t="shared" si="1"/>
        <v>3.267256359733385E-5</v>
      </c>
      <c r="Y9" s="29">
        <f t="shared" si="2"/>
        <v>0</v>
      </c>
      <c r="Z9" s="29">
        <f t="shared" si="16"/>
        <v>3978873.5772647113</v>
      </c>
      <c r="AB9" s="26">
        <f t="shared" si="3"/>
        <v>39788735.772973835</v>
      </c>
      <c r="AC9" s="27">
        <f t="shared" si="4"/>
        <v>2.2619467105846513E-5</v>
      </c>
      <c r="AD9" s="29">
        <f t="shared" si="5"/>
        <v>0</v>
      </c>
      <c r="AE9" s="29">
        <f t="shared" si="17"/>
        <v>39788735.772951216</v>
      </c>
      <c r="AG9" s="26">
        <f t="shared" si="6"/>
        <v>397887357.72973835</v>
      </c>
      <c r="AH9" s="27">
        <f t="shared" si="7"/>
        <v>1.7592918860102843E-5</v>
      </c>
      <c r="AI9" s="29">
        <f t="shared" si="8"/>
        <v>0</v>
      </c>
      <c r="AJ9" s="29">
        <f t="shared" si="18"/>
        <v>397887357.72972077</v>
      </c>
      <c r="AL9" s="26">
        <f t="shared" si="9"/>
        <v>3978873577.2973838</v>
      </c>
      <c r="AM9" s="27">
        <f t="shared" si="10"/>
        <v>1.5079644737231007E-5</v>
      </c>
      <c r="AN9" s="29">
        <f t="shared" si="11"/>
        <v>0</v>
      </c>
      <c r="AO9" s="29">
        <f t="shared" si="19"/>
        <v>3978873577.2973685</v>
      </c>
      <c r="AQ9" s="26">
        <f t="shared" si="20"/>
        <v>39788735772.973831</v>
      </c>
      <c r="AR9" s="27">
        <f t="shared" si="21"/>
        <v>1.0053096491487338E-5</v>
      </c>
      <c r="AS9" s="29">
        <f t="shared" si="22"/>
        <v>0</v>
      </c>
      <c r="AT9" s="29">
        <f t="shared" si="23"/>
        <v>39788735772.973824</v>
      </c>
      <c r="AV9" s="26">
        <f t="shared" si="24"/>
        <v>397887357729.7384</v>
      </c>
      <c r="AW9" s="27">
        <f t="shared" si="25"/>
        <v>2.5132741228718346E-6</v>
      </c>
      <c r="AX9" s="29">
        <f t="shared" si="26"/>
        <v>0</v>
      </c>
      <c r="AY9" s="29">
        <f t="shared" si="27"/>
        <v>397887357729.7384</v>
      </c>
    </row>
    <row r="10" spans="2:51" x14ac:dyDescent="0.3">
      <c r="B10" s="2" t="s">
        <v>198</v>
      </c>
      <c r="C10" s="43">
        <f>C6/C8</f>
        <v>0</v>
      </c>
      <c r="D10" s="4" t="s">
        <v>21</v>
      </c>
      <c r="Q10" s="22">
        <v>5</v>
      </c>
      <c r="R10" s="26">
        <f t="shared" si="12"/>
        <v>318309.88618379069</v>
      </c>
      <c r="S10" s="27">
        <f t="shared" si="13"/>
        <v>1.5707963267948965E-4</v>
      </c>
      <c r="T10" s="28">
        <f t="shared" si="14"/>
        <v>0</v>
      </c>
      <c r="U10" s="29">
        <f t="shared" si="15"/>
        <v>318309.88602671103</v>
      </c>
      <c r="W10" s="26">
        <f t="shared" si="0"/>
        <v>3183098.8618379068</v>
      </c>
      <c r="X10" s="27">
        <f t="shared" si="1"/>
        <v>4.0840704496667311E-5</v>
      </c>
      <c r="Y10" s="29">
        <f t="shared" si="2"/>
        <v>0</v>
      </c>
      <c r="Z10" s="29">
        <f t="shared" si="16"/>
        <v>3183098.8617970659</v>
      </c>
      <c r="AB10" s="26">
        <f t="shared" si="3"/>
        <v>31830988.618379071</v>
      </c>
      <c r="AC10" s="27">
        <f t="shared" si="4"/>
        <v>2.8274333882308141E-5</v>
      </c>
      <c r="AD10" s="29">
        <f t="shared" si="5"/>
        <v>0</v>
      </c>
      <c r="AE10" s="29">
        <f t="shared" si="17"/>
        <v>31830988.618350796</v>
      </c>
      <c r="AG10" s="26">
        <f t="shared" si="6"/>
        <v>318309886.18379068</v>
      </c>
      <c r="AH10" s="27">
        <f t="shared" si="7"/>
        <v>2.1991148575128552E-5</v>
      </c>
      <c r="AI10" s="29">
        <f t="shared" si="8"/>
        <v>0</v>
      </c>
      <c r="AJ10" s="29">
        <f t="shared" si="18"/>
        <v>318309886.18376869</v>
      </c>
      <c r="AL10" s="26">
        <f t="shared" si="9"/>
        <v>3183098861.8379068</v>
      </c>
      <c r="AM10" s="27">
        <f t="shared" si="10"/>
        <v>1.8849555921538758E-5</v>
      </c>
      <c r="AN10" s="29">
        <f t="shared" si="11"/>
        <v>0</v>
      </c>
      <c r="AO10" s="29">
        <f t="shared" si="19"/>
        <v>3183098861.8378878</v>
      </c>
      <c r="AQ10" s="26">
        <f t="shared" si="20"/>
        <v>31830988618.37907</v>
      </c>
      <c r="AR10" s="27">
        <f t="shared" si="21"/>
        <v>1.2566370614359175E-5</v>
      </c>
      <c r="AS10" s="29">
        <f t="shared" si="22"/>
        <v>0</v>
      </c>
      <c r="AT10" s="29">
        <f t="shared" si="23"/>
        <v>31830988618.379059</v>
      </c>
      <c r="AV10" s="26">
        <f t="shared" si="24"/>
        <v>318309886183.79065</v>
      </c>
      <c r="AW10" s="27">
        <f t="shared" si="25"/>
        <v>3.1415926535897938E-6</v>
      </c>
      <c r="AX10" s="29">
        <f t="shared" si="26"/>
        <v>0</v>
      </c>
      <c r="AY10" s="29">
        <f t="shared" si="27"/>
        <v>318309886183.79065</v>
      </c>
    </row>
    <row r="11" spans="2:51" x14ac:dyDescent="0.3">
      <c r="B11" s="2" t="s">
        <v>199</v>
      </c>
      <c r="C11" s="43">
        <f>C7/C8</f>
        <v>5</v>
      </c>
      <c r="D11" s="4" t="s">
        <v>5</v>
      </c>
      <c r="Q11" s="22">
        <v>6</v>
      </c>
      <c r="R11" s="26">
        <f t="shared" si="12"/>
        <v>265258.23848649225</v>
      </c>
      <c r="S11" s="27">
        <f t="shared" si="13"/>
        <v>1.884955592153876E-4</v>
      </c>
      <c r="T11" s="28">
        <f t="shared" si="14"/>
        <v>0</v>
      </c>
      <c r="U11" s="29">
        <f t="shared" si="15"/>
        <v>265258.23829799669</v>
      </c>
      <c r="W11" s="26">
        <f t="shared" si="0"/>
        <v>2652582.3848649226</v>
      </c>
      <c r="X11" s="27">
        <f t="shared" si="1"/>
        <v>4.9008845396000771E-5</v>
      </c>
      <c r="Y11" s="29">
        <f t="shared" si="2"/>
        <v>0</v>
      </c>
      <c r="Z11" s="29">
        <f t="shared" si="16"/>
        <v>2652582.3848159136</v>
      </c>
      <c r="AB11" s="26">
        <f t="shared" si="3"/>
        <v>26525823.848649222</v>
      </c>
      <c r="AC11" s="27">
        <f t="shared" si="4"/>
        <v>3.3929200658769765E-5</v>
      </c>
      <c r="AD11" s="29">
        <f t="shared" si="5"/>
        <v>0</v>
      </c>
      <c r="AE11" s="29">
        <f t="shared" si="17"/>
        <v>26525823.848615292</v>
      </c>
      <c r="AG11" s="26">
        <f t="shared" si="6"/>
        <v>265258238.48649225</v>
      </c>
      <c r="AH11" s="27">
        <f t="shared" si="7"/>
        <v>2.6389378290154258E-5</v>
      </c>
      <c r="AI11" s="29">
        <f t="shared" si="8"/>
        <v>0</v>
      </c>
      <c r="AJ11" s="29">
        <f t="shared" si="18"/>
        <v>265258238.48646587</v>
      </c>
      <c r="AL11" s="26">
        <f t="shared" si="9"/>
        <v>2652582384.864922</v>
      </c>
      <c r="AM11" s="27">
        <f t="shared" si="10"/>
        <v>2.261946710584651E-5</v>
      </c>
      <c r="AN11" s="29">
        <f t="shared" si="11"/>
        <v>0</v>
      </c>
      <c r="AO11" s="29">
        <f t="shared" si="19"/>
        <v>2652582384.8648996</v>
      </c>
      <c r="AQ11" s="26">
        <f t="shared" si="20"/>
        <v>26525823848.649227</v>
      </c>
      <c r="AR11" s="27">
        <f t="shared" si="21"/>
        <v>1.507964473723101E-5</v>
      </c>
      <c r="AS11" s="29">
        <f t="shared" si="22"/>
        <v>0</v>
      </c>
      <c r="AT11" s="29">
        <f t="shared" si="23"/>
        <v>26525823848.649212</v>
      </c>
      <c r="AV11" s="26">
        <f t="shared" si="24"/>
        <v>265258238486.49225</v>
      </c>
      <c r="AW11" s="27">
        <f t="shared" si="25"/>
        <v>3.7699111843077525E-6</v>
      </c>
      <c r="AX11" s="29">
        <f t="shared" si="26"/>
        <v>0</v>
      </c>
      <c r="AY11" s="29">
        <f t="shared" si="27"/>
        <v>265258238486.49225</v>
      </c>
    </row>
    <row r="12" spans="2:51" x14ac:dyDescent="0.3">
      <c r="B12" s="2" t="s">
        <v>200</v>
      </c>
      <c r="C12" s="47">
        <f>(1/(2*PI()*(SQRT(C5*0.000001*C7*0.000000001))))*0.000001</f>
        <v>0.22507907903927651</v>
      </c>
      <c r="D12" s="4" t="s">
        <v>87</v>
      </c>
      <c r="Q12" s="22">
        <v>7</v>
      </c>
      <c r="R12" s="26">
        <f t="shared" si="12"/>
        <v>227364.20441699339</v>
      </c>
      <c r="S12" s="27">
        <f t="shared" si="13"/>
        <v>2.1991148575128551E-4</v>
      </c>
      <c r="T12" s="28">
        <f t="shared" si="14"/>
        <v>0</v>
      </c>
      <c r="U12" s="29">
        <f t="shared" si="15"/>
        <v>227364.20419708191</v>
      </c>
      <c r="W12" s="26">
        <f t="shared" si="0"/>
        <v>2273642.0441699335</v>
      </c>
      <c r="X12" s="27">
        <f t="shared" si="1"/>
        <v>5.7176986295334232E-5</v>
      </c>
      <c r="Y12" s="29">
        <f t="shared" si="2"/>
        <v>0</v>
      </c>
      <c r="Z12" s="29">
        <f t="shared" si="16"/>
        <v>2273642.0441127564</v>
      </c>
      <c r="AB12" s="26">
        <f t="shared" si="3"/>
        <v>22736420.441699333</v>
      </c>
      <c r="AC12" s="27">
        <f t="shared" si="4"/>
        <v>3.9584067435231403E-5</v>
      </c>
      <c r="AD12" s="29">
        <f t="shared" si="5"/>
        <v>0</v>
      </c>
      <c r="AE12" s="29">
        <f t="shared" si="17"/>
        <v>22736420.441659749</v>
      </c>
      <c r="AG12" s="26">
        <f t="shared" si="6"/>
        <v>227364204.41699338</v>
      </c>
      <c r="AH12" s="27">
        <f t="shared" si="7"/>
        <v>3.0787608005179971E-5</v>
      </c>
      <c r="AI12" s="29">
        <f t="shared" si="8"/>
        <v>0</v>
      </c>
      <c r="AJ12" s="29">
        <f t="shared" si="18"/>
        <v>227364204.41696259</v>
      </c>
      <c r="AL12" s="26">
        <f t="shared" si="9"/>
        <v>2273642044.1699333</v>
      </c>
      <c r="AM12" s="27">
        <f t="shared" si="10"/>
        <v>2.6389378290154262E-5</v>
      </c>
      <c r="AN12" s="29">
        <f t="shared" si="11"/>
        <v>0</v>
      </c>
      <c r="AO12" s="29">
        <f t="shared" si="19"/>
        <v>2273642044.1699071</v>
      </c>
      <c r="AQ12" s="26">
        <f t="shared" si="20"/>
        <v>22736420441.699337</v>
      </c>
      <c r="AR12" s="27">
        <f t="shared" si="21"/>
        <v>1.7592918860102847E-5</v>
      </c>
      <c r="AS12" s="29">
        <f t="shared" si="22"/>
        <v>0</v>
      </c>
      <c r="AT12" s="29">
        <f t="shared" si="23"/>
        <v>22736420441.699318</v>
      </c>
      <c r="AV12" s="26">
        <f t="shared" si="24"/>
        <v>227364204416.99335</v>
      </c>
      <c r="AW12" s="27">
        <f t="shared" si="25"/>
        <v>4.3982297150257117E-6</v>
      </c>
      <c r="AX12" s="29">
        <f t="shared" si="26"/>
        <v>0</v>
      </c>
      <c r="AY12" s="29">
        <f t="shared" si="27"/>
        <v>227364204416.99335</v>
      </c>
    </row>
    <row r="13" spans="2:51" x14ac:dyDescent="0.3">
      <c r="Q13" s="22">
        <v>8</v>
      </c>
      <c r="R13" s="26">
        <f t="shared" si="12"/>
        <v>198943.67886486917</v>
      </c>
      <c r="S13" s="27">
        <f t="shared" si="13"/>
        <v>2.5132741228718343E-4</v>
      </c>
      <c r="T13" s="28">
        <f t="shared" si="14"/>
        <v>0</v>
      </c>
      <c r="U13" s="29">
        <f t="shared" si="15"/>
        <v>198943.67861354176</v>
      </c>
      <c r="W13" s="26">
        <f t="shared" si="0"/>
        <v>1989436.788648692</v>
      </c>
      <c r="X13" s="27">
        <f t="shared" si="1"/>
        <v>6.53451271946677E-5</v>
      </c>
      <c r="Y13" s="29">
        <f t="shared" si="2"/>
        <v>0</v>
      </c>
      <c r="Z13" s="29">
        <f t="shared" si="16"/>
        <v>1989436.7885833469</v>
      </c>
      <c r="AB13" s="26">
        <f t="shared" si="3"/>
        <v>19894367.886486918</v>
      </c>
      <c r="AC13" s="27">
        <f t="shared" si="4"/>
        <v>4.5238934211693027E-5</v>
      </c>
      <c r="AD13" s="29">
        <f t="shared" si="5"/>
        <v>0</v>
      </c>
      <c r="AE13" s="29">
        <f t="shared" si="17"/>
        <v>19894367.886441678</v>
      </c>
      <c r="AG13" s="26">
        <f t="shared" si="6"/>
        <v>198943678.86486918</v>
      </c>
      <c r="AH13" s="27">
        <f t="shared" si="7"/>
        <v>3.5185837720205687E-5</v>
      </c>
      <c r="AI13" s="29">
        <f t="shared" si="8"/>
        <v>0</v>
      </c>
      <c r="AJ13" s="29">
        <f t="shared" si="18"/>
        <v>198943678.86483398</v>
      </c>
      <c r="AL13" s="26">
        <f t="shared" si="9"/>
        <v>1989436788.6486919</v>
      </c>
      <c r="AM13" s="27">
        <f t="shared" si="10"/>
        <v>3.0159289474462013E-5</v>
      </c>
      <c r="AN13" s="29">
        <f t="shared" si="11"/>
        <v>0</v>
      </c>
      <c r="AO13" s="29">
        <f t="shared" si="19"/>
        <v>1989436788.6486619</v>
      </c>
      <c r="AQ13" s="26">
        <f t="shared" si="20"/>
        <v>19894367886.486916</v>
      </c>
      <c r="AR13" s="27">
        <f t="shared" si="21"/>
        <v>2.0106192982974677E-5</v>
      </c>
      <c r="AS13" s="29">
        <f t="shared" si="22"/>
        <v>0</v>
      </c>
      <c r="AT13" s="29">
        <f t="shared" si="23"/>
        <v>19894367886.486897</v>
      </c>
      <c r="AV13" s="26">
        <f t="shared" si="24"/>
        <v>198943678864.8692</v>
      </c>
      <c r="AW13" s="27">
        <f t="shared" si="25"/>
        <v>5.0265482457436692E-6</v>
      </c>
      <c r="AX13" s="29">
        <f t="shared" si="26"/>
        <v>0</v>
      </c>
      <c r="AY13" s="29">
        <f t="shared" si="27"/>
        <v>198943678864.8692</v>
      </c>
    </row>
    <row r="14" spans="2:51" ht="15.6" x14ac:dyDescent="0.35">
      <c r="B14" s="2" t="s">
        <v>207</v>
      </c>
      <c r="C14" s="55">
        <v>10</v>
      </c>
      <c r="D14" s="10" t="s">
        <v>8</v>
      </c>
      <c r="Q14" s="22">
        <v>9</v>
      </c>
      <c r="R14" s="26">
        <f t="shared" si="12"/>
        <v>176838.82565766151</v>
      </c>
      <c r="S14" s="27">
        <f t="shared" si="13"/>
        <v>2.8274333882308137E-4</v>
      </c>
      <c r="T14" s="28">
        <f t="shared" si="14"/>
        <v>0</v>
      </c>
      <c r="U14" s="29">
        <f t="shared" si="15"/>
        <v>176838.82537491817</v>
      </c>
      <c r="W14" s="26">
        <f t="shared" si="0"/>
        <v>1768388.2565766149</v>
      </c>
      <c r="X14" s="27">
        <f t="shared" si="1"/>
        <v>7.3513268094001154E-5</v>
      </c>
      <c r="Y14" s="29">
        <f t="shared" si="2"/>
        <v>0</v>
      </c>
      <c r="Z14" s="29">
        <f t="shared" si="16"/>
        <v>1768388.2565031017</v>
      </c>
      <c r="AB14" s="26">
        <f t="shared" si="3"/>
        <v>17683882.565766148</v>
      </c>
      <c r="AC14" s="27">
        <f t="shared" si="4"/>
        <v>5.0893800988154651E-5</v>
      </c>
      <c r="AD14" s="29">
        <f t="shared" si="5"/>
        <v>0</v>
      </c>
      <c r="AE14" s="29">
        <f t="shared" si="17"/>
        <v>17683882.565715253</v>
      </c>
      <c r="AG14" s="26">
        <f t="shared" si="6"/>
        <v>176838825.6576615</v>
      </c>
      <c r="AH14" s="27">
        <f t="shared" si="7"/>
        <v>3.9584067435231396E-5</v>
      </c>
      <c r="AI14" s="29">
        <f t="shared" si="8"/>
        <v>0</v>
      </c>
      <c r="AJ14" s="29">
        <f t="shared" si="18"/>
        <v>176838825.65762192</v>
      </c>
      <c r="AL14" s="26">
        <f t="shared" si="9"/>
        <v>1768388256.5766149</v>
      </c>
      <c r="AM14" s="27">
        <f t="shared" si="10"/>
        <v>3.3929200658769765E-5</v>
      </c>
      <c r="AN14" s="29">
        <f t="shared" si="11"/>
        <v>0</v>
      </c>
      <c r="AO14" s="29">
        <f t="shared" si="19"/>
        <v>1768388256.576581</v>
      </c>
      <c r="AQ14" s="26">
        <f t="shared" si="20"/>
        <v>17683882565.766151</v>
      </c>
      <c r="AR14" s="27">
        <f t="shared" si="21"/>
        <v>2.2619467105846513E-5</v>
      </c>
      <c r="AS14" s="29">
        <f t="shared" si="22"/>
        <v>0</v>
      </c>
      <c r="AT14" s="29">
        <f t="shared" si="23"/>
        <v>17683882565.766129</v>
      </c>
      <c r="AV14" s="26">
        <f t="shared" si="24"/>
        <v>176838825657.66147</v>
      </c>
      <c r="AW14" s="27">
        <f t="shared" si="25"/>
        <v>5.6548667764616283E-6</v>
      </c>
      <c r="AX14" s="29">
        <f t="shared" si="26"/>
        <v>0</v>
      </c>
      <c r="AY14" s="29">
        <f t="shared" si="27"/>
        <v>176838825657.66147</v>
      </c>
    </row>
    <row r="15" spans="2:51" x14ac:dyDescent="0.3">
      <c r="B15" s="2" t="s">
        <v>205</v>
      </c>
      <c r="C15" s="55">
        <v>0</v>
      </c>
      <c r="D15" s="4" t="s">
        <v>21</v>
      </c>
      <c r="Q15" s="22">
        <v>10</v>
      </c>
      <c r="R15" s="26">
        <f t="shared" si="12"/>
        <v>159154.94309189534</v>
      </c>
      <c r="S15" s="27">
        <f t="shared" si="13"/>
        <v>3.1415926535897931E-4</v>
      </c>
      <c r="T15" s="28">
        <f t="shared" si="14"/>
        <v>0</v>
      </c>
      <c r="U15" s="29">
        <f t="shared" si="15"/>
        <v>159154.94277773608</v>
      </c>
      <c r="W15" s="26">
        <f t="shared" si="0"/>
        <v>1591549.4309189534</v>
      </c>
      <c r="X15" s="27">
        <f t="shared" si="1"/>
        <v>8.1681408993334621E-5</v>
      </c>
      <c r="Y15" s="29">
        <f t="shared" si="2"/>
        <v>0</v>
      </c>
      <c r="Z15" s="29">
        <f t="shared" si="16"/>
        <v>1591549.430837272</v>
      </c>
      <c r="AB15" s="26">
        <f t="shared" si="3"/>
        <v>15915494.309189536</v>
      </c>
      <c r="AC15" s="27">
        <f t="shared" si="4"/>
        <v>5.6548667764616282E-5</v>
      </c>
      <c r="AD15" s="29">
        <f t="shared" si="5"/>
        <v>0</v>
      </c>
      <c r="AE15" s="29">
        <f t="shared" si="17"/>
        <v>15915494.309132988</v>
      </c>
      <c r="AG15" s="26">
        <f t="shared" si="6"/>
        <v>159154943.09189534</v>
      </c>
      <c r="AH15" s="27">
        <f t="shared" si="7"/>
        <v>4.3982297150257105E-5</v>
      </c>
      <c r="AI15" s="29">
        <f t="shared" si="8"/>
        <v>0</v>
      </c>
      <c r="AJ15" s="29">
        <f t="shared" si="18"/>
        <v>159154943.09185135</v>
      </c>
      <c r="AL15" s="26">
        <f t="shared" si="9"/>
        <v>1591549430.9189534</v>
      </c>
      <c r="AM15" s="27">
        <f t="shared" si="10"/>
        <v>3.7699111843077517E-5</v>
      </c>
      <c r="AN15" s="29">
        <f t="shared" si="11"/>
        <v>0</v>
      </c>
      <c r="AO15" s="29">
        <f t="shared" si="19"/>
        <v>1591549430.9189157</v>
      </c>
      <c r="AQ15" s="26">
        <f t="shared" si="20"/>
        <v>15915494309.189535</v>
      </c>
      <c r="AR15" s="27">
        <f t="shared" si="21"/>
        <v>2.513274122871835E-5</v>
      </c>
      <c r="AS15" s="29">
        <f t="shared" si="22"/>
        <v>0</v>
      </c>
      <c r="AT15" s="29">
        <f t="shared" si="23"/>
        <v>15915494309.18951</v>
      </c>
      <c r="AV15" s="26">
        <f t="shared" si="24"/>
        <v>159154943091.89532</v>
      </c>
      <c r="AW15" s="27">
        <f t="shared" si="25"/>
        <v>6.2831853071795875E-6</v>
      </c>
      <c r="AX15" s="29">
        <f t="shared" si="26"/>
        <v>0</v>
      </c>
      <c r="AY15" s="29">
        <f t="shared" si="27"/>
        <v>159154943091.89532</v>
      </c>
    </row>
    <row r="16" spans="2:51" x14ac:dyDescent="0.3">
      <c r="B16" s="2" t="s">
        <v>206</v>
      </c>
      <c r="C16" s="55">
        <v>1.3</v>
      </c>
      <c r="D16" s="4" t="s">
        <v>5</v>
      </c>
      <c r="Q16" s="22">
        <v>20</v>
      </c>
      <c r="R16" s="26">
        <f t="shared" si="12"/>
        <v>79577.471545947672</v>
      </c>
      <c r="S16" s="27">
        <f t="shared" si="13"/>
        <v>6.2831853071795862E-4</v>
      </c>
      <c r="T16" s="28">
        <f t="shared" si="14"/>
        <v>0</v>
      </c>
      <c r="U16" s="29">
        <f t="shared" si="15"/>
        <v>79577.470917629136</v>
      </c>
      <c r="W16" s="26">
        <f t="shared" si="0"/>
        <v>795774.71545947669</v>
      </c>
      <c r="X16" s="27">
        <f t="shared" si="1"/>
        <v>1.6336281798666924E-4</v>
      </c>
      <c r="Y16" s="29">
        <f t="shared" si="2"/>
        <v>0</v>
      </c>
      <c r="Z16" s="29">
        <f t="shared" si="16"/>
        <v>795774.71529611386</v>
      </c>
      <c r="AB16" s="26">
        <f t="shared" si="3"/>
        <v>7957747.1545947678</v>
      </c>
      <c r="AC16" s="27">
        <f t="shared" si="4"/>
        <v>1.1309733552923256E-4</v>
      </c>
      <c r="AD16" s="29">
        <f t="shared" si="5"/>
        <v>0</v>
      </c>
      <c r="AE16" s="29">
        <f t="shared" si="17"/>
        <v>7957747.1544816708</v>
      </c>
      <c r="AG16" s="26">
        <f t="shared" si="6"/>
        <v>79577471.545947671</v>
      </c>
      <c r="AH16" s="27">
        <f t="shared" si="7"/>
        <v>8.796459430051421E-5</v>
      </c>
      <c r="AI16" s="29">
        <f t="shared" si="8"/>
        <v>0</v>
      </c>
      <c r="AJ16" s="29">
        <f t="shared" si="18"/>
        <v>79577471.545859709</v>
      </c>
      <c r="AL16" s="26">
        <f t="shared" si="9"/>
        <v>795774715.45947671</v>
      </c>
      <c r="AM16" s="27">
        <f t="shared" si="10"/>
        <v>7.5398223686155033E-5</v>
      </c>
      <c r="AN16" s="29">
        <f t="shared" si="11"/>
        <v>0</v>
      </c>
      <c r="AO16" s="29">
        <f t="shared" si="19"/>
        <v>795774715.45940137</v>
      </c>
      <c r="AQ16" s="26">
        <f t="shared" si="20"/>
        <v>7957747154.5947676</v>
      </c>
      <c r="AR16" s="27">
        <f t="shared" si="21"/>
        <v>5.02654824574367E-5</v>
      </c>
      <c r="AS16" s="29">
        <f t="shared" si="22"/>
        <v>0</v>
      </c>
      <c r="AT16" s="29">
        <f t="shared" si="23"/>
        <v>7957747154.594717</v>
      </c>
      <c r="AV16" s="26">
        <f t="shared" si="24"/>
        <v>79577471545.947662</v>
      </c>
      <c r="AW16" s="27">
        <f t="shared" si="25"/>
        <v>1.2566370614359175E-5</v>
      </c>
      <c r="AX16" s="29">
        <f t="shared" si="26"/>
        <v>0</v>
      </c>
      <c r="AY16" s="29">
        <f t="shared" si="27"/>
        <v>79577471545.947647</v>
      </c>
    </row>
    <row r="17" spans="2:51" x14ac:dyDescent="0.3">
      <c r="B17" s="2" t="s">
        <v>193</v>
      </c>
      <c r="C17" s="55">
        <v>1</v>
      </c>
      <c r="D17" s="4"/>
      <c r="Q17" s="22">
        <v>30</v>
      </c>
      <c r="R17" s="26">
        <f t="shared" si="12"/>
        <v>53051.647697298446</v>
      </c>
      <c r="S17" s="27">
        <f t="shared" si="13"/>
        <v>9.4247779607693793E-4</v>
      </c>
      <c r="T17" s="28">
        <f t="shared" si="14"/>
        <v>0</v>
      </c>
      <c r="U17" s="29">
        <f t="shared" si="15"/>
        <v>53051.646754820649</v>
      </c>
      <c r="V17" s="11"/>
      <c r="W17" s="26">
        <f t="shared" si="0"/>
        <v>530516.4769729845</v>
      </c>
      <c r="X17" s="27">
        <f t="shared" si="1"/>
        <v>2.4504422698000384E-4</v>
      </c>
      <c r="Y17" s="29">
        <f t="shared" si="2"/>
        <v>0</v>
      </c>
      <c r="Z17" s="29">
        <f t="shared" si="16"/>
        <v>530516.47672794026</v>
      </c>
      <c r="AB17" s="26">
        <f t="shared" si="3"/>
        <v>5305164.7697298452</v>
      </c>
      <c r="AC17" s="27">
        <f t="shared" si="4"/>
        <v>1.6964600329384883E-4</v>
      </c>
      <c r="AD17" s="29">
        <f t="shared" si="5"/>
        <v>0</v>
      </c>
      <c r="AE17" s="29">
        <f t="shared" si="17"/>
        <v>5305164.7695601992</v>
      </c>
      <c r="AG17" s="26">
        <f t="shared" si="6"/>
        <v>53051647.697298445</v>
      </c>
      <c r="AH17" s="27">
        <f t="shared" si="7"/>
        <v>1.319468914507713E-4</v>
      </c>
      <c r="AI17" s="29">
        <f t="shared" si="8"/>
        <v>0</v>
      </c>
      <c r="AJ17" s="29">
        <f t="shared" si="18"/>
        <v>53051647.697166495</v>
      </c>
      <c r="AL17" s="26">
        <f t="shared" si="9"/>
        <v>530516476.97298449</v>
      </c>
      <c r="AM17" s="27">
        <f t="shared" si="10"/>
        <v>1.1309733552923255E-4</v>
      </c>
      <c r="AN17" s="29">
        <f t="shared" si="11"/>
        <v>0</v>
      </c>
      <c r="AO17" s="29">
        <f t="shared" si="19"/>
        <v>530516476.97287142</v>
      </c>
      <c r="AQ17" s="26">
        <f t="shared" si="20"/>
        <v>5305164769.729845</v>
      </c>
      <c r="AR17" s="27">
        <f t="shared" si="21"/>
        <v>7.5398223686155033E-5</v>
      </c>
      <c r="AS17" s="29">
        <f t="shared" si="22"/>
        <v>0</v>
      </c>
      <c r="AT17" s="29">
        <f t="shared" si="23"/>
        <v>5305164769.7297697</v>
      </c>
      <c r="AV17" s="26">
        <f t="shared" si="24"/>
        <v>53051647697.298454</v>
      </c>
      <c r="AW17" s="27">
        <f t="shared" si="25"/>
        <v>1.8849555921538758E-5</v>
      </c>
      <c r="AX17" s="29">
        <f t="shared" si="26"/>
        <v>0</v>
      </c>
      <c r="AY17" s="29">
        <f t="shared" si="27"/>
        <v>53051647697.298439</v>
      </c>
    </row>
    <row r="18" spans="2:51" ht="15.6" x14ac:dyDescent="0.35">
      <c r="B18" s="2" t="s">
        <v>208</v>
      </c>
      <c r="C18" s="43">
        <f>C17*C14</f>
        <v>10</v>
      </c>
      <c r="D18" s="10" t="s">
        <v>8</v>
      </c>
      <c r="Q18" s="22">
        <v>40</v>
      </c>
      <c r="R18" s="26">
        <f t="shared" si="12"/>
        <v>39788.735772973836</v>
      </c>
      <c r="S18" s="27">
        <f t="shared" si="13"/>
        <v>1.2566370614359172E-3</v>
      </c>
      <c r="T18" s="28">
        <f t="shared" si="14"/>
        <v>0</v>
      </c>
      <c r="U18" s="29">
        <f t="shared" si="15"/>
        <v>39788.734516336772</v>
      </c>
      <c r="V18" s="11"/>
      <c r="W18" s="26">
        <f t="shared" si="0"/>
        <v>397887.35772973835</v>
      </c>
      <c r="X18" s="27">
        <f t="shared" si="1"/>
        <v>3.2672563597333849E-4</v>
      </c>
      <c r="Y18" s="29">
        <f t="shared" si="2"/>
        <v>0</v>
      </c>
      <c r="Z18" s="29">
        <f t="shared" si="16"/>
        <v>397887.35740301269</v>
      </c>
      <c r="AB18" s="26">
        <f t="shared" si="3"/>
        <v>3978873.5772973839</v>
      </c>
      <c r="AC18" s="27">
        <f t="shared" si="4"/>
        <v>2.2619467105846513E-4</v>
      </c>
      <c r="AD18" s="29">
        <f t="shared" si="5"/>
        <v>0</v>
      </c>
      <c r="AE18" s="29">
        <f t="shared" si="17"/>
        <v>3978873.5770711894</v>
      </c>
      <c r="AG18" s="26">
        <f t="shared" si="6"/>
        <v>39788735.772973835</v>
      </c>
      <c r="AH18" s="27">
        <f t="shared" si="7"/>
        <v>1.7592918860102842E-4</v>
      </c>
      <c r="AI18" s="29">
        <f t="shared" si="8"/>
        <v>0</v>
      </c>
      <c r="AJ18" s="29">
        <f t="shared" si="18"/>
        <v>39788735.772797905</v>
      </c>
      <c r="AL18" s="26">
        <f t="shared" si="9"/>
        <v>397887357.72973835</v>
      </c>
      <c r="AM18" s="27">
        <f t="shared" si="10"/>
        <v>1.5079644737231007E-4</v>
      </c>
      <c r="AN18" s="29">
        <f t="shared" si="11"/>
        <v>0</v>
      </c>
      <c r="AO18" s="29">
        <f t="shared" si="19"/>
        <v>397887357.72958755</v>
      </c>
      <c r="AQ18" s="26">
        <f t="shared" si="20"/>
        <v>3978873577.2973838</v>
      </c>
      <c r="AR18" s="27">
        <f t="shared" si="21"/>
        <v>1.005309649148734E-4</v>
      </c>
      <c r="AS18" s="29">
        <f t="shared" si="22"/>
        <v>0</v>
      </c>
      <c r="AT18" s="29">
        <f t="shared" si="23"/>
        <v>3978873577.2972832</v>
      </c>
      <c r="AV18" s="26">
        <f t="shared" si="24"/>
        <v>39788735772.973831</v>
      </c>
      <c r="AW18" s="27">
        <f t="shared" si="25"/>
        <v>2.513274122871835E-5</v>
      </c>
      <c r="AX18" s="29">
        <f t="shared" si="26"/>
        <v>0</v>
      </c>
      <c r="AY18" s="29">
        <f t="shared" si="27"/>
        <v>39788735772.973808</v>
      </c>
    </row>
    <row r="19" spans="2:51" x14ac:dyDescent="0.3">
      <c r="B19" s="2" t="s">
        <v>209</v>
      </c>
      <c r="C19" s="43">
        <f>C15/C17</f>
        <v>0</v>
      </c>
      <c r="D19" s="4" t="s">
        <v>21</v>
      </c>
      <c r="E19" s="9"/>
      <c r="Q19" s="22">
        <v>50</v>
      </c>
      <c r="R19" s="26">
        <f t="shared" si="12"/>
        <v>31830.988618379066</v>
      </c>
      <c r="S19" s="27">
        <f t="shared" si="13"/>
        <v>1.5707963267948967E-3</v>
      </c>
      <c r="T19" s="28">
        <f t="shared" si="14"/>
        <v>0</v>
      </c>
      <c r="U19" s="29">
        <f t="shared" si="15"/>
        <v>31830.987047582737</v>
      </c>
      <c r="V19" s="11"/>
      <c r="W19" s="26">
        <f t="shared" si="0"/>
        <v>318309.88618379069</v>
      </c>
      <c r="X19" s="27">
        <f t="shared" si="1"/>
        <v>4.0840704496667313E-4</v>
      </c>
      <c r="Y19" s="29">
        <f t="shared" si="2"/>
        <v>0</v>
      </c>
      <c r="Z19" s="29">
        <f t="shared" si="16"/>
        <v>318309.88577538362</v>
      </c>
      <c r="AB19" s="26">
        <f t="shared" si="3"/>
        <v>3183098.8618379068</v>
      </c>
      <c r="AC19" s="27">
        <f t="shared" si="4"/>
        <v>2.8274333882308142E-4</v>
      </c>
      <c r="AD19" s="29">
        <f t="shared" si="5"/>
        <v>0</v>
      </c>
      <c r="AE19" s="29">
        <f t="shared" si="17"/>
        <v>3183098.8615551633</v>
      </c>
      <c r="AG19" s="26">
        <f t="shared" si="6"/>
        <v>31830988.618379064</v>
      </c>
      <c r="AH19" s="27">
        <f t="shared" si="7"/>
        <v>2.1991148575128551E-4</v>
      </c>
      <c r="AI19" s="29">
        <f t="shared" si="8"/>
        <v>0</v>
      </c>
      <c r="AJ19" s="29">
        <f t="shared" si="18"/>
        <v>31830988.618159153</v>
      </c>
      <c r="AL19" s="26">
        <f t="shared" si="9"/>
        <v>318309886.18379068</v>
      </c>
      <c r="AM19" s="27">
        <f t="shared" si="10"/>
        <v>1.884955592153876E-4</v>
      </c>
      <c r="AN19" s="29">
        <f t="shared" si="11"/>
        <v>0</v>
      </c>
      <c r="AO19" s="29">
        <f t="shared" si="19"/>
        <v>318309886.18360221</v>
      </c>
      <c r="AQ19" s="26">
        <f t="shared" si="20"/>
        <v>3183098861.8379068</v>
      </c>
      <c r="AR19" s="27">
        <f t="shared" si="21"/>
        <v>1.2566370614359174E-4</v>
      </c>
      <c r="AS19" s="29">
        <f t="shared" si="22"/>
        <v>0</v>
      </c>
      <c r="AT19" s="29">
        <f t="shared" si="23"/>
        <v>3183098861.837781</v>
      </c>
      <c r="AV19" s="26">
        <f t="shared" si="24"/>
        <v>31830988618.37907</v>
      </c>
      <c r="AW19" s="27">
        <f t="shared" si="25"/>
        <v>3.1415926535897935E-5</v>
      </c>
      <c r="AX19" s="29">
        <f t="shared" si="26"/>
        <v>0</v>
      </c>
      <c r="AY19" s="29">
        <f t="shared" si="27"/>
        <v>31830988618.37904</v>
      </c>
    </row>
    <row r="20" spans="2:51" x14ac:dyDescent="0.3">
      <c r="B20" s="2" t="s">
        <v>210</v>
      </c>
      <c r="C20" s="43">
        <f>C16/C17</f>
        <v>1.3</v>
      </c>
      <c r="D20" s="4" t="s">
        <v>5</v>
      </c>
      <c r="Q20" s="22">
        <v>60</v>
      </c>
      <c r="R20" s="26">
        <f t="shared" si="12"/>
        <v>26525.823848649223</v>
      </c>
      <c r="S20" s="27">
        <f t="shared" si="13"/>
        <v>1.8849555921538759E-3</v>
      </c>
      <c r="T20" s="28">
        <f t="shared" si="14"/>
        <v>0</v>
      </c>
      <c r="U20" s="29">
        <f t="shared" si="15"/>
        <v>26525.82196369363</v>
      </c>
      <c r="V20" s="11"/>
      <c r="W20" s="26">
        <f t="shared" si="0"/>
        <v>265258.23848649225</v>
      </c>
      <c r="X20" s="27">
        <f t="shared" si="1"/>
        <v>4.9008845396000767E-4</v>
      </c>
      <c r="Y20" s="29">
        <f t="shared" si="2"/>
        <v>0</v>
      </c>
      <c r="Z20" s="29">
        <f t="shared" si="16"/>
        <v>265258.23799640377</v>
      </c>
      <c r="AB20" s="26">
        <f t="shared" si="3"/>
        <v>2652582.3848649226</v>
      </c>
      <c r="AC20" s="27">
        <f t="shared" si="4"/>
        <v>3.3929200658769766E-4</v>
      </c>
      <c r="AD20" s="29">
        <f t="shared" si="5"/>
        <v>0</v>
      </c>
      <c r="AE20" s="29">
        <f t="shared" si="17"/>
        <v>2652582.3845256306</v>
      </c>
      <c r="AG20" s="26">
        <f t="shared" si="6"/>
        <v>26525823.848649222</v>
      </c>
      <c r="AH20" s="27">
        <f t="shared" si="7"/>
        <v>2.638937829015426E-4</v>
      </c>
      <c r="AI20" s="29">
        <f t="shared" si="8"/>
        <v>0</v>
      </c>
      <c r="AJ20" s="29">
        <f t="shared" si="18"/>
        <v>26525823.84838533</v>
      </c>
      <c r="AL20" s="26">
        <f t="shared" si="9"/>
        <v>265258238.48649225</v>
      </c>
      <c r="AM20" s="27">
        <f t="shared" si="10"/>
        <v>2.261946710584651E-4</v>
      </c>
      <c r="AN20" s="29">
        <f t="shared" si="11"/>
        <v>0</v>
      </c>
      <c r="AO20" s="29">
        <f t="shared" si="19"/>
        <v>265258238.48626605</v>
      </c>
      <c r="AP20" s="11"/>
      <c r="AQ20" s="26">
        <f t="shared" si="20"/>
        <v>2652582384.8649225</v>
      </c>
      <c r="AR20" s="27">
        <f t="shared" si="21"/>
        <v>1.5079644737231007E-4</v>
      </c>
      <c r="AS20" s="29">
        <f t="shared" si="22"/>
        <v>0</v>
      </c>
      <c r="AT20" s="29">
        <f t="shared" si="23"/>
        <v>2652582384.8647718</v>
      </c>
      <c r="AV20" s="26">
        <f t="shared" si="24"/>
        <v>26525823848.649227</v>
      </c>
      <c r="AW20" s="27">
        <f t="shared" si="25"/>
        <v>3.7699111843077517E-5</v>
      </c>
      <c r="AX20" s="29">
        <f t="shared" si="26"/>
        <v>0</v>
      </c>
      <c r="AY20" s="29">
        <f t="shared" si="27"/>
        <v>26525823848.649189</v>
      </c>
    </row>
    <row r="21" spans="2:51" x14ac:dyDescent="0.3">
      <c r="B21" s="2" t="s">
        <v>211</v>
      </c>
      <c r="C21" s="47">
        <f>(1/(2*PI()*(SQRT(C14*0.000001*C16*0.000000001))))*0.000001</f>
        <v>1.3958811915110068</v>
      </c>
      <c r="D21" s="4" t="s">
        <v>87</v>
      </c>
      <c r="Q21" s="22">
        <v>70</v>
      </c>
      <c r="R21" s="26">
        <f t="shared" si="12"/>
        <v>22736.420441699334</v>
      </c>
      <c r="S21" s="27">
        <f t="shared" si="13"/>
        <v>2.1991148575128548E-3</v>
      </c>
      <c r="T21" s="28">
        <f t="shared" si="14"/>
        <v>0</v>
      </c>
      <c r="U21" s="29">
        <f t="shared" si="15"/>
        <v>22736.418242584477</v>
      </c>
      <c r="V21" s="11"/>
      <c r="W21" s="26">
        <f t="shared" si="0"/>
        <v>227364.20441699339</v>
      </c>
      <c r="X21" s="27">
        <f t="shared" si="1"/>
        <v>5.7176986295334243E-4</v>
      </c>
      <c r="Y21" s="29">
        <f t="shared" si="2"/>
        <v>0</v>
      </c>
      <c r="Z21" s="29">
        <f t="shared" si="16"/>
        <v>227364.20384522353</v>
      </c>
      <c r="AB21" s="26">
        <f t="shared" si="3"/>
        <v>2273642.0441699335</v>
      </c>
      <c r="AC21" s="27">
        <f t="shared" si="4"/>
        <v>3.9584067435231396E-4</v>
      </c>
      <c r="AD21" s="29">
        <f t="shared" si="5"/>
        <v>0</v>
      </c>
      <c r="AE21" s="29">
        <f t="shared" si="17"/>
        <v>2273642.043774093</v>
      </c>
      <c r="AG21" s="26">
        <f t="shared" si="6"/>
        <v>22736420.441699333</v>
      </c>
      <c r="AH21" s="27">
        <f t="shared" si="7"/>
        <v>3.0787608005179972E-4</v>
      </c>
      <c r="AI21" s="29">
        <f t="shared" si="8"/>
        <v>0</v>
      </c>
      <c r="AJ21" s="29">
        <f t="shared" si="18"/>
        <v>22736420.441391457</v>
      </c>
      <c r="AL21" s="26">
        <f t="shared" si="9"/>
        <v>227364204.41699338</v>
      </c>
      <c r="AM21" s="27">
        <f t="shared" si="10"/>
        <v>2.638937829015426E-4</v>
      </c>
      <c r="AN21" s="29">
        <f t="shared" si="11"/>
        <v>0</v>
      </c>
      <c r="AO21" s="29">
        <f t="shared" si="19"/>
        <v>227364204.41672948</v>
      </c>
      <c r="AP21" s="11"/>
      <c r="AQ21" s="26">
        <f t="shared" si="20"/>
        <v>2273642044.1699333</v>
      </c>
      <c r="AR21" s="27">
        <f t="shared" si="21"/>
        <v>1.7592918860102845E-4</v>
      </c>
      <c r="AS21" s="29">
        <f t="shared" si="22"/>
        <v>0</v>
      </c>
      <c r="AT21" s="29">
        <f t="shared" si="23"/>
        <v>2273642044.1697574</v>
      </c>
      <c r="AV21" s="26">
        <f t="shared" si="24"/>
        <v>22736420441.699337</v>
      </c>
      <c r="AW21" s="27">
        <f t="shared" si="25"/>
        <v>4.3982297150257112E-5</v>
      </c>
      <c r="AX21" s="29">
        <f t="shared" si="26"/>
        <v>0</v>
      </c>
      <c r="AY21" s="29">
        <f t="shared" si="27"/>
        <v>22736420441.699291</v>
      </c>
    </row>
    <row r="22" spans="2:51" x14ac:dyDescent="0.3">
      <c r="Q22" s="22">
        <v>80</v>
      </c>
      <c r="R22" s="26">
        <f t="shared" si="12"/>
        <v>19894.367886486918</v>
      </c>
      <c r="S22" s="27">
        <f t="shared" si="13"/>
        <v>2.5132741228718345E-3</v>
      </c>
      <c r="T22" s="28">
        <f t="shared" si="14"/>
        <v>0</v>
      </c>
      <c r="U22" s="29">
        <f t="shared" si="15"/>
        <v>19894.365373212797</v>
      </c>
      <c r="V22" s="11"/>
      <c r="W22" s="26">
        <f t="shared" si="0"/>
        <v>198943.67886486917</v>
      </c>
      <c r="X22" s="27">
        <f t="shared" si="1"/>
        <v>6.5345127194667697E-4</v>
      </c>
      <c r="Y22" s="29">
        <f t="shared" si="2"/>
        <v>0</v>
      </c>
      <c r="Z22" s="29">
        <f t="shared" si="16"/>
        <v>198943.67821141789</v>
      </c>
      <c r="AB22" s="26">
        <f t="shared" si="3"/>
        <v>1989436.788648692</v>
      </c>
      <c r="AC22" s="27">
        <f t="shared" si="4"/>
        <v>4.5238934211693025E-4</v>
      </c>
      <c r="AD22" s="29">
        <f t="shared" si="5"/>
        <v>0</v>
      </c>
      <c r="AE22" s="29">
        <f t="shared" si="17"/>
        <v>1989436.7881963027</v>
      </c>
      <c r="AG22" s="26">
        <f t="shared" si="6"/>
        <v>19894367.886486918</v>
      </c>
      <c r="AH22" s="27">
        <f t="shared" si="7"/>
        <v>3.5185837720205684E-4</v>
      </c>
      <c r="AI22" s="29">
        <f t="shared" si="8"/>
        <v>0</v>
      </c>
      <c r="AJ22" s="29">
        <f t="shared" si="18"/>
        <v>19894367.88613506</v>
      </c>
      <c r="AL22" s="26">
        <f t="shared" si="9"/>
        <v>198943678.86486918</v>
      </c>
      <c r="AM22" s="27">
        <f t="shared" si="10"/>
        <v>3.0159289474462013E-4</v>
      </c>
      <c r="AN22" s="29">
        <f t="shared" si="11"/>
        <v>0</v>
      </c>
      <c r="AO22" s="29">
        <f t="shared" si="19"/>
        <v>198943678.86456758</v>
      </c>
      <c r="AP22" s="11"/>
      <c r="AQ22" s="26">
        <f t="shared" si="20"/>
        <v>1989436788.6486919</v>
      </c>
      <c r="AR22" s="27">
        <f t="shared" si="21"/>
        <v>2.010619298297468E-4</v>
      </c>
      <c r="AS22" s="29">
        <f t="shared" si="22"/>
        <v>0</v>
      </c>
      <c r="AT22" s="29">
        <f t="shared" si="23"/>
        <v>1989436788.6484909</v>
      </c>
      <c r="AV22" s="26">
        <f t="shared" si="24"/>
        <v>19894367886.486916</v>
      </c>
      <c r="AW22" s="27">
        <f t="shared" si="25"/>
        <v>5.02654824574367E-5</v>
      </c>
      <c r="AX22" s="29">
        <f t="shared" si="26"/>
        <v>0</v>
      </c>
      <c r="AY22" s="29">
        <f t="shared" si="27"/>
        <v>19894367886.486866</v>
      </c>
    </row>
    <row r="23" spans="2:51" ht="15.6" x14ac:dyDescent="0.35">
      <c r="B23" s="2" t="s">
        <v>212</v>
      </c>
      <c r="C23" s="55">
        <v>1</v>
      </c>
      <c r="D23" s="10" t="s">
        <v>8</v>
      </c>
      <c r="Q23" s="22">
        <v>90</v>
      </c>
      <c r="R23" s="26">
        <f t="shared" si="12"/>
        <v>17683.882565766147</v>
      </c>
      <c r="S23" s="27">
        <f t="shared" si="13"/>
        <v>2.8274333882308137E-3</v>
      </c>
      <c r="T23" s="28">
        <f t="shared" si="14"/>
        <v>0</v>
      </c>
      <c r="U23" s="29">
        <f t="shared" si="15"/>
        <v>17683.879738332758</v>
      </c>
      <c r="V23" s="11"/>
      <c r="W23" s="26">
        <f t="shared" si="0"/>
        <v>176838.82565766151</v>
      </c>
      <c r="X23" s="27">
        <f t="shared" si="1"/>
        <v>7.3513268094001173E-4</v>
      </c>
      <c r="Y23" s="29">
        <f t="shared" si="2"/>
        <v>0</v>
      </c>
      <c r="Z23" s="29">
        <f t="shared" si="16"/>
        <v>176838.82492252882</v>
      </c>
      <c r="AB23" s="26">
        <f t="shared" si="3"/>
        <v>1768388.2565766149</v>
      </c>
      <c r="AC23" s="27">
        <f t="shared" si="4"/>
        <v>5.0893800988154655E-4</v>
      </c>
      <c r="AD23" s="29">
        <f t="shared" si="5"/>
        <v>0</v>
      </c>
      <c r="AE23" s="29">
        <f t="shared" si="17"/>
        <v>1768388.2560676769</v>
      </c>
      <c r="AG23" s="26">
        <f t="shared" si="6"/>
        <v>17683882.565766148</v>
      </c>
      <c r="AH23" s="27">
        <f t="shared" si="7"/>
        <v>3.958406743523139E-4</v>
      </c>
      <c r="AI23" s="29">
        <f t="shared" si="8"/>
        <v>0</v>
      </c>
      <c r="AJ23" s="29">
        <f t="shared" si="18"/>
        <v>17683882.565370306</v>
      </c>
      <c r="AL23" s="26">
        <f t="shared" si="9"/>
        <v>176838825.6576615</v>
      </c>
      <c r="AM23" s="27">
        <f t="shared" si="10"/>
        <v>3.3929200658769766E-4</v>
      </c>
      <c r="AN23" s="29">
        <f t="shared" si="11"/>
        <v>0</v>
      </c>
      <c r="AO23" s="29">
        <f t="shared" si="19"/>
        <v>176838825.6573222</v>
      </c>
      <c r="AP23" s="11"/>
      <c r="AQ23" s="26">
        <f t="shared" si="20"/>
        <v>1768388256.5766149</v>
      </c>
      <c r="AR23" s="27">
        <f t="shared" si="21"/>
        <v>2.2619467105846515E-4</v>
      </c>
      <c r="AS23" s="29">
        <f t="shared" si="22"/>
        <v>0</v>
      </c>
      <c r="AT23" s="29">
        <f t="shared" si="23"/>
        <v>1768388256.5763886</v>
      </c>
      <c r="AV23" s="26">
        <f t="shared" si="24"/>
        <v>17683882565.766151</v>
      </c>
      <c r="AW23" s="27">
        <f t="shared" si="25"/>
        <v>5.6548667764616288E-5</v>
      </c>
      <c r="AX23" s="29">
        <f t="shared" si="26"/>
        <v>0</v>
      </c>
      <c r="AY23" s="29">
        <f t="shared" si="27"/>
        <v>17683882565.766094</v>
      </c>
    </row>
    <row r="24" spans="2:51" x14ac:dyDescent="0.3">
      <c r="B24" s="2" t="s">
        <v>213</v>
      </c>
      <c r="C24" s="55">
        <v>0</v>
      </c>
      <c r="D24" s="4" t="s">
        <v>21</v>
      </c>
      <c r="Q24" s="22">
        <v>100</v>
      </c>
      <c r="R24" s="26">
        <f t="shared" si="12"/>
        <v>15915.494309189533</v>
      </c>
      <c r="S24" s="27">
        <f t="shared" si="13"/>
        <v>3.1415926535897933E-3</v>
      </c>
      <c r="T24" s="28">
        <f t="shared" si="14"/>
        <v>0</v>
      </c>
      <c r="U24" s="29">
        <f t="shared" si="15"/>
        <v>15915.49116759688</v>
      </c>
      <c r="V24" s="11"/>
      <c r="W24" s="26">
        <f t="shared" si="0"/>
        <v>159154.94309189534</v>
      </c>
      <c r="X24" s="27">
        <f t="shared" si="1"/>
        <v>8.1681408993334627E-4</v>
      </c>
      <c r="Y24" s="29">
        <f t="shared" si="2"/>
        <v>0</v>
      </c>
      <c r="Z24" s="29">
        <f t="shared" si="16"/>
        <v>159154.94227508127</v>
      </c>
      <c r="AB24" s="26">
        <f t="shared" si="3"/>
        <v>1591549.4309189534</v>
      </c>
      <c r="AC24" s="27">
        <f t="shared" si="4"/>
        <v>5.6548667764616284E-4</v>
      </c>
      <c r="AD24" s="29">
        <f t="shared" si="5"/>
        <v>0</v>
      </c>
      <c r="AE24" s="29">
        <f t="shared" si="17"/>
        <v>1591549.4303534667</v>
      </c>
      <c r="AG24" s="26">
        <f t="shared" si="6"/>
        <v>15915494.309189532</v>
      </c>
      <c r="AH24" s="27">
        <f t="shared" si="7"/>
        <v>4.3982297150257102E-4</v>
      </c>
      <c r="AI24" s="29">
        <f t="shared" si="8"/>
        <v>0</v>
      </c>
      <c r="AJ24" s="29">
        <f t="shared" si="18"/>
        <v>15915494.308749709</v>
      </c>
      <c r="AL24" s="26">
        <f t="shared" si="9"/>
        <v>159154943.09189534</v>
      </c>
      <c r="AM24" s="27">
        <f t="shared" si="10"/>
        <v>3.7699111843077519E-4</v>
      </c>
      <c r="AN24" s="29">
        <f t="shared" si="11"/>
        <v>0</v>
      </c>
      <c r="AO24" s="29">
        <f t="shared" si="19"/>
        <v>159154943.09151834</v>
      </c>
      <c r="AQ24" s="26">
        <f t="shared" si="20"/>
        <v>1591549430.9189534</v>
      </c>
      <c r="AR24" s="27">
        <f t="shared" si="21"/>
        <v>2.5132741228718348E-4</v>
      </c>
      <c r="AS24" s="29">
        <f t="shared" si="22"/>
        <v>0</v>
      </c>
      <c r="AT24" s="29">
        <f t="shared" si="23"/>
        <v>1591549430.9187021</v>
      </c>
      <c r="AV24" s="26">
        <f t="shared" si="24"/>
        <v>15915494309.189535</v>
      </c>
      <c r="AW24" s="27">
        <f t="shared" si="25"/>
        <v>6.283185307179587E-5</v>
      </c>
      <c r="AX24" s="29">
        <f t="shared" si="26"/>
        <v>0</v>
      </c>
      <c r="AY24" s="29">
        <f t="shared" si="27"/>
        <v>15915494309.189472</v>
      </c>
    </row>
    <row r="25" spans="2:51" x14ac:dyDescent="0.3">
      <c r="B25" s="2" t="s">
        <v>214</v>
      </c>
      <c r="C25" s="55">
        <v>0.9</v>
      </c>
      <c r="D25" s="4" t="s">
        <v>5</v>
      </c>
      <c r="Q25" s="22">
        <v>200</v>
      </c>
      <c r="R25" s="26">
        <f t="shared" si="12"/>
        <v>7957.7471545947665</v>
      </c>
      <c r="S25" s="27">
        <f t="shared" si="13"/>
        <v>6.2831853071795866E-3</v>
      </c>
      <c r="T25" s="28">
        <f t="shared" si="14"/>
        <v>0</v>
      </c>
      <c r="U25" s="29">
        <f t="shared" si="15"/>
        <v>7957.740871409459</v>
      </c>
      <c r="V25" s="11"/>
      <c r="W25" s="26">
        <f t="shared" si="0"/>
        <v>79577.471545947672</v>
      </c>
      <c r="X25" s="27">
        <f t="shared" si="1"/>
        <v>1.6336281798666925E-3</v>
      </c>
      <c r="Y25" s="29">
        <f t="shared" si="2"/>
        <v>0</v>
      </c>
      <c r="Z25" s="29">
        <f t="shared" si="16"/>
        <v>79577.469912319488</v>
      </c>
      <c r="AB25" s="26">
        <f t="shared" si="3"/>
        <v>795774.71545947669</v>
      </c>
      <c r="AC25" s="27">
        <f t="shared" si="4"/>
        <v>1.1309733552923257E-3</v>
      </c>
      <c r="AD25" s="29">
        <f t="shared" si="5"/>
        <v>0</v>
      </c>
      <c r="AE25" s="29">
        <f t="shared" si="17"/>
        <v>795774.71432850335</v>
      </c>
      <c r="AG25" s="26">
        <f t="shared" si="6"/>
        <v>7957747.154594766</v>
      </c>
      <c r="AH25" s="27">
        <f t="shared" si="7"/>
        <v>8.7964594300514204E-4</v>
      </c>
      <c r="AI25" s="29">
        <f t="shared" si="8"/>
        <v>0</v>
      </c>
      <c r="AJ25" s="29">
        <f t="shared" si="18"/>
        <v>7957747.1537151197</v>
      </c>
      <c r="AL25" s="26">
        <f t="shared" si="9"/>
        <v>79577471.545947671</v>
      </c>
      <c r="AM25" s="27">
        <f t="shared" si="10"/>
        <v>7.5398223686155038E-4</v>
      </c>
      <c r="AN25" s="29">
        <f t="shared" si="11"/>
        <v>0</v>
      </c>
      <c r="AO25" s="29">
        <f t="shared" si="19"/>
        <v>79577471.545193687</v>
      </c>
      <c r="AQ25" s="26">
        <f t="shared" si="20"/>
        <v>795774715.45947671</v>
      </c>
      <c r="AR25" s="27">
        <f t="shared" si="21"/>
        <v>5.0265482457436696E-4</v>
      </c>
      <c r="AS25" s="29">
        <f t="shared" si="22"/>
        <v>0</v>
      </c>
      <c r="AT25" s="29">
        <f t="shared" si="23"/>
        <v>795774715.458974</v>
      </c>
      <c r="AV25" s="26">
        <f t="shared" si="24"/>
        <v>7957747154.5947676</v>
      </c>
      <c r="AW25" s="27">
        <f t="shared" si="25"/>
        <v>1.2566370614359174E-4</v>
      </c>
      <c r="AX25" s="29">
        <f t="shared" si="26"/>
        <v>0</v>
      </c>
      <c r="AY25" s="29">
        <f t="shared" si="27"/>
        <v>7957747154.5946417</v>
      </c>
    </row>
    <row r="26" spans="2:51" x14ac:dyDescent="0.3">
      <c r="B26" s="2" t="s">
        <v>193</v>
      </c>
      <c r="C26" s="55">
        <v>1</v>
      </c>
      <c r="D26" s="4"/>
      <c r="Q26" s="22">
        <v>300</v>
      </c>
      <c r="R26" s="26">
        <f t="shared" si="12"/>
        <v>5305.1647697298449</v>
      </c>
      <c r="S26" s="27">
        <f t="shared" si="13"/>
        <v>9.4247779607693795E-3</v>
      </c>
      <c r="T26" s="28">
        <f t="shared" si="14"/>
        <v>0</v>
      </c>
      <c r="U26" s="29">
        <f t="shared" si="15"/>
        <v>5305.1553449518842</v>
      </c>
      <c r="V26" s="11"/>
      <c r="W26" s="26">
        <f t="shared" si="0"/>
        <v>53051.647697298446</v>
      </c>
      <c r="X26" s="27">
        <f t="shared" si="1"/>
        <v>2.4504422698000388E-3</v>
      </c>
      <c r="Y26" s="29">
        <f t="shared" si="2"/>
        <v>0</v>
      </c>
      <c r="Z26" s="29">
        <f t="shared" si="16"/>
        <v>53051.645246856177</v>
      </c>
      <c r="AB26" s="26">
        <f t="shared" si="3"/>
        <v>530516.4769729845</v>
      </c>
      <c r="AC26" s="27">
        <f t="shared" si="4"/>
        <v>1.6964600329384884E-3</v>
      </c>
      <c r="AD26" s="29">
        <f t="shared" si="5"/>
        <v>0</v>
      </c>
      <c r="AE26" s="29">
        <f t="shared" si="17"/>
        <v>530516.47527652443</v>
      </c>
      <c r="AG26" s="26">
        <f t="shared" si="6"/>
        <v>5305164.7697298443</v>
      </c>
      <c r="AH26" s="27">
        <f t="shared" si="7"/>
        <v>1.3194689145077129E-3</v>
      </c>
      <c r="AI26" s="29">
        <f t="shared" si="8"/>
        <v>0</v>
      </c>
      <c r="AJ26" s="29">
        <f t="shared" si="18"/>
        <v>5305164.7684103753</v>
      </c>
      <c r="AL26" s="26">
        <f t="shared" si="9"/>
        <v>53051647.697298445</v>
      </c>
      <c r="AM26" s="27">
        <f t="shared" si="10"/>
        <v>1.1309733552923255E-3</v>
      </c>
      <c r="AN26" s="29">
        <f t="shared" si="11"/>
        <v>0</v>
      </c>
      <c r="AO26" s="29">
        <f t="shared" si="19"/>
        <v>53051647.696167469</v>
      </c>
      <c r="AQ26" s="26">
        <f t="shared" si="20"/>
        <v>530516476.97298449</v>
      </c>
      <c r="AR26" s="27">
        <f t="shared" si="21"/>
        <v>7.5398223686155049E-4</v>
      </c>
      <c r="AS26" s="29">
        <f t="shared" si="22"/>
        <v>0</v>
      </c>
      <c r="AT26" s="29">
        <f t="shared" si="23"/>
        <v>530516476.97223049</v>
      </c>
      <c r="AV26" s="26">
        <f t="shared" si="24"/>
        <v>5305164769.7298441</v>
      </c>
      <c r="AW26" s="27">
        <f t="shared" si="25"/>
        <v>1.8849555921538762E-4</v>
      </c>
      <c r="AX26" s="29">
        <f t="shared" si="26"/>
        <v>0</v>
      </c>
      <c r="AY26" s="29">
        <f t="shared" si="27"/>
        <v>5305164769.7296553</v>
      </c>
    </row>
    <row r="27" spans="2:51" ht="15.6" x14ac:dyDescent="0.35">
      <c r="B27" s="2" t="s">
        <v>215</v>
      </c>
      <c r="C27" s="43">
        <f>C26*C23</f>
        <v>1</v>
      </c>
      <c r="D27" s="10" t="s">
        <v>8</v>
      </c>
      <c r="Q27" s="22">
        <v>400</v>
      </c>
      <c r="R27" s="26">
        <f t="shared" si="12"/>
        <v>3978.8735772973832</v>
      </c>
      <c r="S27" s="27">
        <f t="shared" si="13"/>
        <v>1.2566370614359173E-2</v>
      </c>
      <c r="T27" s="28">
        <f t="shared" si="14"/>
        <v>0</v>
      </c>
      <c r="U27" s="29">
        <f t="shared" si="15"/>
        <v>3978.8610109267688</v>
      </c>
      <c r="V27" s="11"/>
      <c r="W27" s="26">
        <f t="shared" si="0"/>
        <v>39788.735772973836</v>
      </c>
      <c r="X27" s="27">
        <f t="shared" si="1"/>
        <v>3.2672563597333851E-3</v>
      </c>
      <c r="Y27" s="29">
        <f t="shared" si="2"/>
        <v>0</v>
      </c>
      <c r="Z27" s="29">
        <f t="shared" si="16"/>
        <v>39788.732505717475</v>
      </c>
      <c r="AB27" s="26">
        <f t="shared" si="3"/>
        <v>397887.35772973835</v>
      </c>
      <c r="AC27" s="27">
        <f t="shared" si="4"/>
        <v>2.2619467105846514E-3</v>
      </c>
      <c r="AD27" s="29">
        <f t="shared" si="5"/>
        <v>0</v>
      </c>
      <c r="AE27" s="29">
        <f t="shared" si="17"/>
        <v>397887.35546779161</v>
      </c>
      <c r="AG27" s="26">
        <f t="shared" si="6"/>
        <v>3978873.577297383</v>
      </c>
      <c r="AH27" s="27">
        <f t="shared" si="7"/>
        <v>1.7592918860102841E-3</v>
      </c>
      <c r="AI27" s="29">
        <f t="shared" si="8"/>
        <v>0</v>
      </c>
      <c r="AJ27" s="29">
        <f t="shared" si="18"/>
        <v>3978873.5755380909</v>
      </c>
      <c r="AL27" s="26">
        <f t="shared" si="9"/>
        <v>39788735.772973835</v>
      </c>
      <c r="AM27" s="27">
        <f t="shared" si="10"/>
        <v>1.5079644737231008E-3</v>
      </c>
      <c r="AN27" s="29">
        <f t="shared" si="11"/>
        <v>0</v>
      </c>
      <c r="AO27" s="29">
        <f t="shared" si="19"/>
        <v>39788735.771465868</v>
      </c>
      <c r="AQ27" s="26">
        <f t="shared" si="20"/>
        <v>397887357.72973835</v>
      </c>
      <c r="AR27" s="27">
        <f t="shared" si="21"/>
        <v>1.0053096491487339E-3</v>
      </c>
      <c r="AS27" s="29">
        <f t="shared" si="22"/>
        <v>0</v>
      </c>
      <c r="AT27" s="29">
        <f t="shared" si="23"/>
        <v>397887357.72873306</v>
      </c>
      <c r="AV27" s="26">
        <f t="shared" si="24"/>
        <v>3978873577.2973838</v>
      </c>
      <c r="AW27" s="27">
        <f t="shared" si="25"/>
        <v>2.5132741228718348E-4</v>
      </c>
      <c r="AX27" s="29">
        <f t="shared" si="26"/>
        <v>0</v>
      </c>
      <c r="AY27" s="29">
        <f t="shared" si="27"/>
        <v>3978873577.2971325</v>
      </c>
    </row>
    <row r="28" spans="2:51" x14ac:dyDescent="0.3">
      <c r="B28" s="2" t="s">
        <v>216</v>
      </c>
      <c r="C28" s="43">
        <f>C24/C26</f>
        <v>0</v>
      </c>
      <c r="D28" s="4" t="s">
        <v>21</v>
      </c>
      <c r="Q28" s="22">
        <v>500</v>
      </c>
      <c r="R28" s="26">
        <f t="shared" si="12"/>
        <v>3183.0988618379074</v>
      </c>
      <c r="S28" s="27">
        <f t="shared" si="13"/>
        <v>1.5707963267948963E-2</v>
      </c>
      <c r="T28" s="28">
        <f t="shared" si="14"/>
        <v>0</v>
      </c>
      <c r="U28" s="29">
        <f t="shared" si="15"/>
        <v>3183.0831538746393</v>
      </c>
      <c r="V28" s="11"/>
      <c r="W28" s="26">
        <f t="shared" si="0"/>
        <v>31830.988618379073</v>
      </c>
      <c r="X28" s="27">
        <f t="shared" si="1"/>
        <v>4.0840704496667313E-3</v>
      </c>
      <c r="Y28" s="29">
        <f t="shared" si="2"/>
        <v>0</v>
      </c>
      <c r="Z28" s="29">
        <f t="shared" si="16"/>
        <v>31830.984534308624</v>
      </c>
      <c r="AB28" s="26">
        <f t="shared" si="3"/>
        <v>318309.88618379069</v>
      </c>
      <c r="AC28" s="27">
        <f t="shared" si="4"/>
        <v>2.8274333882308137E-3</v>
      </c>
      <c r="AD28" s="29">
        <f t="shared" si="5"/>
        <v>0</v>
      </c>
      <c r="AE28" s="29">
        <f t="shared" si="17"/>
        <v>318309.88335635728</v>
      </c>
      <c r="AG28" s="26">
        <f t="shared" si="6"/>
        <v>3183098.8618379068</v>
      </c>
      <c r="AH28" s="27">
        <f t="shared" si="7"/>
        <v>2.1991148575128548E-3</v>
      </c>
      <c r="AI28" s="29">
        <f t="shared" si="8"/>
        <v>0</v>
      </c>
      <c r="AJ28" s="29">
        <f t="shared" si="18"/>
        <v>3183098.859638792</v>
      </c>
      <c r="AL28" s="26">
        <f t="shared" si="9"/>
        <v>31830988.618379071</v>
      </c>
      <c r="AM28" s="27">
        <f t="shared" si="10"/>
        <v>1.8849555921538759E-3</v>
      </c>
      <c r="AN28" s="29">
        <f t="shared" si="11"/>
        <v>0</v>
      </c>
      <c r="AO28" s="29">
        <f t="shared" si="19"/>
        <v>31830988.616494115</v>
      </c>
      <c r="AQ28" s="26">
        <f t="shared" si="20"/>
        <v>318309886.18379068</v>
      </c>
      <c r="AR28" s="27">
        <f t="shared" si="21"/>
        <v>1.2566370614359172E-3</v>
      </c>
      <c r="AS28" s="29">
        <f t="shared" si="22"/>
        <v>0</v>
      </c>
      <c r="AT28" s="29">
        <f t="shared" si="23"/>
        <v>318309886.18253404</v>
      </c>
      <c r="AV28" s="26">
        <f t="shared" si="24"/>
        <v>3183098861.8379068</v>
      </c>
      <c r="AW28" s="27">
        <f t="shared" si="25"/>
        <v>3.1415926535897931E-4</v>
      </c>
      <c r="AX28" s="29">
        <f t="shared" si="26"/>
        <v>0</v>
      </c>
      <c r="AY28" s="29">
        <f t="shared" si="27"/>
        <v>3183098861.8375926</v>
      </c>
    </row>
    <row r="29" spans="2:51" x14ac:dyDescent="0.3">
      <c r="B29" s="2" t="s">
        <v>217</v>
      </c>
      <c r="C29" s="43">
        <f>C25/C26</f>
        <v>0.9</v>
      </c>
      <c r="D29" s="4" t="s">
        <v>5</v>
      </c>
      <c r="Q29" s="22">
        <v>600</v>
      </c>
      <c r="R29" s="26">
        <f t="shared" si="12"/>
        <v>2652.5823848649225</v>
      </c>
      <c r="S29" s="27">
        <f t="shared" si="13"/>
        <v>1.8849555921538759E-2</v>
      </c>
      <c r="T29" s="28">
        <f t="shared" si="14"/>
        <v>0</v>
      </c>
      <c r="U29" s="29">
        <f t="shared" si="15"/>
        <v>2652.5635353090011</v>
      </c>
      <c r="V29" s="11"/>
      <c r="W29" s="26">
        <f t="shared" si="0"/>
        <v>26525.823848649223</v>
      </c>
      <c r="X29" s="27">
        <f t="shared" si="1"/>
        <v>4.9008845396000776E-3</v>
      </c>
      <c r="Y29" s="29">
        <f t="shared" si="2"/>
        <v>0</v>
      </c>
      <c r="Z29" s="29">
        <f t="shared" si="16"/>
        <v>26525.818947764685</v>
      </c>
      <c r="AB29" s="26">
        <f t="shared" si="3"/>
        <v>265258.23848649225</v>
      </c>
      <c r="AC29" s="27">
        <f t="shared" si="4"/>
        <v>3.3929200658769768E-3</v>
      </c>
      <c r="AD29" s="29">
        <f t="shared" si="5"/>
        <v>0</v>
      </c>
      <c r="AE29" s="29">
        <f t="shared" si="17"/>
        <v>265258.23509357218</v>
      </c>
      <c r="AG29" s="26">
        <f t="shared" si="6"/>
        <v>2652582.3848649221</v>
      </c>
      <c r="AH29" s="27">
        <f t="shared" si="7"/>
        <v>2.6389378290154258E-3</v>
      </c>
      <c r="AI29" s="29">
        <f t="shared" si="8"/>
        <v>0</v>
      </c>
      <c r="AJ29" s="29">
        <f t="shared" si="18"/>
        <v>2652582.3822259842</v>
      </c>
      <c r="AL29" s="26">
        <f t="shared" si="9"/>
        <v>26525823.848649222</v>
      </c>
      <c r="AM29" s="27">
        <f t="shared" si="10"/>
        <v>2.2619467105846509E-3</v>
      </c>
      <c r="AN29" s="29">
        <f t="shared" si="11"/>
        <v>0</v>
      </c>
      <c r="AO29" s="29">
        <f t="shared" si="19"/>
        <v>26525823.846387275</v>
      </c>
      <c r="AQ29" s="26">
        <f t="shared" si="20"/>
        <v>265258238.48649225</v>
      </c>
      <c r="AR29" s="27">
        <f t="shared" si="21"/>
        <v>1.507964473723101E-3</v>
      </c>
      <c r="AS29" s="29">
        <f t="shared" si="22"/>
        <v>0</v>
      </c>
      <c r="AT29" s="29">
        <f t="shared" si="23"/>
        <v>265258238.48498428</v>
      </c>
      <c r="AV29" s="26">
        <f t="shared" si="24"/>
        <v>2652582384.864922</v>
      </c>
      <c r="AW29" s="27">
        <f t="shared" si="25"/>
        <v>3.7699111843077525E-4</v>
      </c>
      <c r="AX29" s="29">
        <f t="shared" si="26"/>
        <v>0</v>
      </c>
      <c r="AY29" s="29">
        <f t="shared" si="27"/>
        <v>2652582384.8645449</v>
      </c>
    </row>
    <row r="30" spans="2:51" x14ac:dyDescent="0.3">
      <c r="B30" s="2" t="s">
        <v>218</v>
      </c>
      <c r="C30" s="47">
        <f>(1/(2*PI()*(SQRT(C23*0.000001*C25*0.000000001))))*0.000001</f>
        <v>5.3051647697298447</v>
      </c>
      <c r="D30" s="4" t="s">
        <v>87</v>
      </c>
      <c r="Q30" s="22">
        <v>700</v>
      </c>
      <c r="R30" s="26">
        <f t="shared" si="12"/>
        <v>2273.6420441699338</v>
      </c>
      <c r="S30" s="27">
        <f t="shared" si="13"/>
        <v>2.1991148575128548E-2</v>
      </c>
      <c r="T30" s="28">
        <f t="shared" si="14"/>
        <v>0</v>
      </c>
      <c r="U30" s="29">
        <f t="shared" si="15"/>
        <v>2273.6200530213587</v>
      </c>
      <c r="V30" s="11"/>
      <c r="W30" s="26">
        <f t="shared" si="0"/>
        <v>22736.420441699334</v>
      </c>
      <c r="X30" s="27">
        <f t="shared" si="1"/>
        <v>5.7176986295334239E-3</v>
      </c>
      <c r="Y30" s="29">
        <f t="shared" si="2"/>
        <v>0</v>
      </c>
      <c r="Z30" s="29">
        <f t="shared" si="16"/>
        <v>22736.414724000704</v>
      </c>
      <c r="AB30" s="26">
        <f t="shared" si="3"/>
        <v>227364.20441699339</v>
      </c>
      <c r="AC30" s="27">
        <f t="shared" si="4"/>
        <v>3.9584067435231391E-3</v>
      </c>
      <c r="AD30" s="29">
        <f t="shared" si="5"/>
        <v>0</v>
      </c>
      <c r="AE30" s="29">
        <f t="shared" si="17"/>
        <v>227364.20045858665</v>
      </c>
      <c r="AG30" s="26">
        <f t="shared" si="6"/>
        <v>2273642.0441699335</v>
      </c>
      <c r="AH30" s="27">
        <f t="shared" si="7"/>
        <v>3.0787608005179968E-3</v>
      </c>
      <c r="AI30" s="29">
        <f t="shared" si="8"/>
        <v>0</v>
      </c>
      <c r="AJ30" s="29">
        <f t="shared" si="18"/>
        <v>2273642.041091173</v>
      </c>
      <c r="AL30" s="26">
        <f t="shared" si="9"/>
        <v>22736420.441699333</v>
      </c>
      <c r="AM30" s="27">
        <f t="shared" si="10"/>
        <v>2.6389378290154258E-3</v>
      </c>
      <c r="AN30" s="29">
        <f t="shared" si="11"/>
        <v>0</v>
      </c>
      <c r="AO30" s="29">
        <f t="shared" si="19"/>
        <v>22736420.439060397</v>
      </c>
      <c r="AQ30" s="26">
        <f t="shared" si="20"/>
        <v>227364204.41699338</v>
      </c>
      <c r="AR30" s="27">
        <f t="shared" si="21"/>
        <v>1.7592918860102843E-3</v>
      </c>
      <c r="AS30" s="29">
        <f t="shared" si="22"/>
        <v>0</v>
      </c>
      <c r="AT30" s="29">
        <f t="shared" si="23"/>
        <v>227364204.41523409</v>
      </c>
      <c r="AV30" s="26">
        <f t="shared" si="24"/>
        <v>2273642044.1699333</v>
      </c>
      <c r="AW30" s="27">
        <f t="shared" si="25"/>
        <v>4.3982297150257108E-4</v>
      </c>
      <c r="AX30" s="29">
        <f t="shared" si="26"/>
        <v>0</v>
      </c>
      <c r="AY30" s="29">
        <f t="shared" si="27"/>
        <v>2273642044.1694937</v>
      </c>
    </row>
    <row r="31" spans="2:51" x14ac:dyDescent="0.3">
      <c r="Q31" s="22">
        <v>800</v>
      </c>
      <c r="R31" s="26">
        <f t="shared" si="12"/>
        <v>1989.4367886486916</v>
      </c>
      <c r="S31" s="27">
        <f t="shared" si="13"/>
        <v>2.5132741228718346E-2</v>
      </c>
      <c r="T31" s="28">
        <f t="shared" si="14"/>
        <v>0</v>
      </c>
      <c r="U31" s="29">
        <f t="shared" si="15"/>
        <v>1989.411655907463</v>
      </c>
      <c r="V31" s="11"/>
      <c r="W31" s="26">
        <f t="shared" si="0"/>
        <v>19894.367886486918</v>
      </c>
      <c r="X31" s="27">
        <f t="shared" si="1"/>
        <v>6.5345127194667701E-3</v>
      </c>
      <c r="Y31" s="29">
        <f t="shared" si="2"/>
        <v>0</v>
      </c>
      <c r="Z31" s="29">
        <f t="shared" si="16"/>
        <v>19894.361351974199</v>
      </c>
      <c r="AB31" s="26">
        <f t="shared" si="3"/>
        <v>198943.67886486917</v>
      </c>
      <c r="AC31" s="27">
        <f t="shared" si="4"/>
        <v>4.5238934211693027E-3</v>
      </c>
      <c r="AD31" s="29">
        <f t="shared" si="5"/>
        <v>0</v>
      </c>
      <c r="AE31" s="29">
        <f t="shared" si="17"/>
        <v>198943.67434097576</v>
      </c>
      <c r="AG31" s="26">
        <f t="shared" si="6"/>
        <v>1989436.7886486915</v>
      </c>
      <c r="AH31" s="27">
        <f t="shared" si="7"/>
        <v>3.5185837720205682E-3</v>
      </c>
      <c r="AI31" s="29">
        <f t="shared" si="8"/>
        <v>0</v>
      </c>
      <c r="AJ31" s="29">
        <f t="shared" si="18"/>
        <v>1989436.7851301078</v>
      </c>
      <c r="AL31" s="26">
        <f t="shared" si="9"/>
        <v>19894367.886486918</v>
      </c>
      <c r="AM31" s="27">
        <f t="shared" si="10"/>
        <v>3.0159289474462015E-3</v>
      </c>
      <c r="AN31" s="29">
        <f t="shared" si="11"/>
        <v>0</v>
      </c>
      <c r="AO31" s="29">
        <f t="shared" si="19"/>
        <v>19894367.88347099</v>
      </c>
      <c r="AQ31" s="26">
        <f t="shared" si="20"/>
        <v>198943678.86486918</v>
      </c>
      <c r="AR31" s="27">
        <f t="shared" si="21"/>
        <v>2.0106192982974678E-3</v>
      </c>
      <c r="AS31" s="29">
        <f t="shared" si="22"/>
        <v>0</v>
      </c>
      <c r="AT31" s="29">
        <f t="shared" si="23"/>
        <v>198943678.86285856</v>
      </c>
      <c r="AV31" s="26">
        <f t="shared" si="24"/>
        <v>1989436788.6486919</v>
      </c>
      <c r="AW31" s="27">
        <f t="shared" si="25"/>
        <v>5.0265482457436696E-4</v>
      </c>
      <c r="AX31" s="29">
        <f t="shared" si="26"/>
        <v>0</v>
      </c>
      <c r="AY31" s="29">
        <f t="shared" si="27"/>
        <v>1989436788.6481893</v>
      </c>
    </row>
    <row r="32" spans="2:51" ht="15.6" x14ac:dyDescent="0.35">
      <c r="B32" s="2" t="s">
        <v>219</v>
      </c>
      <c r="C32" s="55">
        <v>0.1</v>
      </c>
      <c r="D32" s="10" t="s">
        <v>8</v>
      </c>
      <c r="Q32" s="22">
        <v>900</v>
      </c>
      <c r="R32" s="26">
        <f t="shared" si="12"/>
        <v>1768.3882565766148</v>
      </c>
      <c r="S32" s="27">
        <f t="shared" si="13"/>
        <v>2.8274333882308138E-2</v>
      </c>
      <c r="T32" s="28">
        <f t="shared" si="14"/>
        <v>0</v>
      </c>
      <c r="U32" s="29">
        <f t="shared" si="15"/>
        <v>1768.3599822427325</v>
      </c>
      <c r="V32" s="11"/>
      <c r="W32" s="26">
        <f t="shared" si="0"/>
        <v>17683.882565766151</v>
      </c>
      <c r="X32" s="27">
        <f t="shared" si="1"/>
        <v>7.3513268094001155E-3</v>
      </c>
      <c r="Y32" s="29">
        <f t="shared" si="2"/>
        <v>0</v>
      </c>
      <c r="Z32" s="29">
        <f t="shared" si="16"/>
        <v>17683.87521443934</v>
      </c>
      <c r="AB32" s="26">
        <f t="shared" si="3"/>
        <v>176838.82565766151</v>
      </c>
      <c r="AC32" s="27">
        <f t="shared" si="4"/>
        <v>5.0893800988154655E-3</v>
      </c>
      <c r="AD32" s="29">
        <f t="shared" si="5"/>
        <v>0</v>
      </c>
      <c r="AE32" s="29">
        <f t="shared" si="17"/>
        <v>176838.8205682814</v>
      </c>
      <c r="AG32" s="26">
        <f t="shared" si="6"/>
        <v>1768388.2565766149</v>
      </c>
      <c r="AH32" s="27">
        <f t="shared" si="7"/>
        <v>3.9584067435231391E-3</v>
      </c>
      <c r="AI32" s="29">
        <f t="shared" si="8"/>
        <v>0</v>
      </c>
      <c r="AJ32" s="29">
        <f t="shared" si="18"/>
        <v>1768388.2526182081</v>
      </c>
      <c r="AL32" s="26">
        <f t="shared" si="9"/>
        <v>17683882.565766148</v>
      </c>
      <c r="AM32" s="27">
        <f t="shared" si="10"/>
        <v>3.3929200658769764E-3</v>
      </c>
      <c r="AN32" s="29">
        <f t="shared" si="11"/>
        <v>0</v>
      </c>
      <c r="AO32" s="29">
        <f t="shared" si="19"/>
        <v>17683882.562373228</v>
      </c>
      <c r="AQ32" s="26">
        <f t="shared" si="20"/>
        <v>176838825.6576615</v>
      </c>
      <c r="AR32" s="27">
        <f t="shared" si="21"/>
        <v>2.2619467105846514E-3</v>
      </c>
      <c r="AS32" s="29">
        <f t="shared" si="22"/>
        <v>0</v>
      </c>
      <c r="AT32" s="29">
        <f t="shared" si="23"/>
        <v>176838825.65539956</v>
      </c>
      <c r="AV32" s="26">
        <f t="shared" si="24"/>
        <v>1768388256.5766149</v>
      </c>
      <c r="AW32" s="27">
        <f t="shared" si="25"/>
        <v>5.6548667764616284E-4</v>
      </c>
      <c r="AX32" s="29">
        <f t="shared" si="26"/>
        <v>0</v>
      </c>
      <c r="AY32" s="29">
        <f t="shared" si="27"/>
        <v>1768388256.5760493</v>
      </c>
    </row>
    <row r="33" spans="2:51" x14ac:dyDescent="0.3">
      <c r="B33" s="2" t="s">
        <v>220</v>
      </c>
      <c r="C33" s="55">
        <v>0</v>
      </c>
      <c r="D33" s="4" t="s">
        <v>21</v>
      </c>
      <c r="Q33" s="22">
        <v>1000</v>
      </c>
      <c r="R33" s="26">
        <f t="shared" si="12"/>
        <v>1591.5494309189537</v>
      </c>
      <c r="S33" s="27">
        <f t="shared" si="13"/>
        <v>3.1415926535897927E-2</v>
      </c>
      <c r="T33" s="28">
        <f t="shared" si="14"/>
        <v>0</v>
      </c>
      <c r="U33" s="29">
        <f t="shared" si="15"/>
        <v>1591.5180149924179</v>
      </c>
      <c r="V33" s="11"/>
      <c r="W33" s="26">
        <f t="shared" si="0"/>
        <v>15915.494309189537</v>
      </c>
      <c r="X33" s="27">
        <f t="shared" si="1"/>
        <v>8.1681408993334627E-3</v>
      </c>
      <c r="Y33" s="29">
        <f t="shared" si="2"/>
        <v>0</v>
      </c>
      <c r="Z33" s="29">
        <f t="shared" si="16"/>
        <v>15915.486141048637</v>
      </c>
      <c r="AB33" s="26">
        <f t="shared" si="3"/>
        <v>159154.94309189534</v>
      </c>
      <c r="AC33" s="27">
        <f t="shared" si="4"/>
        <v>5.6548667764616273E-3</v>
      </c>
      <c r="AD33" s="29">
        <f t="shared" si="5"/>
        <v>0</v>
      </c>
      <c r="AE33" s="29">
        <f t="shared" si="17"/>
        <v>159154.93743702857</v>
      </c>
      <c r="AG33" s="26">
        <f t="shared" si="6"/>
        <v>1591549.4309189534</v>
      </c>
      <c r="AH33" s="27">
        <f t="shared" si="7"/>
        <v>4.3982297150257097E-3</v>
      </c>
      <c r="AI33" s="29">
        <f t="shared" si="8"/>
        <v>0</v>
      </c>
      <c r="AJ33" s="29">
        <f t="shared" si="18"/>
        <v>1591549.4265207236</v>
      </c>
      <c r="AL33" s="26">
        <f t="shared" si="9"/>
        <v>15915494.309189536</v>
      </c>
      <c r="AM33" s="27">
        <f t="shared" si="10"/>
        <v>3.7699111843077517E-3</v>
      </c>
      <c r="AN33" s="29">
        <f t="shared" si="11"/>
        <v>0</v>
      </c>
      <c r="AO33" s="29">
        <f t="shared" si="19"/>
        <v>15915494.305419624</v>
      </c>
      <c r="AQ33" s="26">
        <f t="shared" si="20"/>
        <v>159154943.09189534</v>
      </c>
      <c r="AR33" s="27">
        <f t="shared" si="21"/>
        <v>2.5132741228718345E-3</v>
      </c>
      <c r="AS33" s="29">
        <f t="shared" si="22"/>
        <v>0</v>
      </c>
      <c r="AT33" s="29">
        <f t="shared" si="23"/>
        <v>159154943.08938208</v>
      </c>
      <c r="AV33" s="26">
        <f t="shared" si="24"/>
        <v>1591549430.9189534</v>
      </c>
      <c r="AW33" s="27">
        <f t="shared" si="25"/>
        <v>6.2831853071795862E-4</v>
      </c>
      <c r="AX33" s="29">
        <f t="shared" si="26"/>
        <v>0</v>
      </c>
      <c r="AY33" s="29">
        <f t="shared" si="27"/>
        <v>1591549430.9183252</v>
      </c>
    </row>
    <row r="34" spans="2:51" x14ac:dyDescent="0.3">
      <c r="B34" s="2" t="s">
        <v>221</v>
      </c>
      <c r="C34" s="55">
        <v>0.7</v>
      </c>
      <c r="D34" s="4" t="s">
        <v>5</v>
      </c>
      <c r="Q34" s="22">
        <v>2000</v>
      </c>
      <c r="R34" s="26">
        <f t="shared" si="12"/>
        <v>795.77471545947685</v>
      </c>
      <c r="S34" s="27">
        <f t="shared" si="13"/>
        <v>6.2831853071795854E-2</v>
      </c>
      <c r="T34" s="28">
        <f t="shared" si="14"/>
        <v>0</v>
      </c>
      <c r="U34" s="29">
        <f t="shared" si="15"/>
        <v>795.71188360640508</v>
      </c>
      <c r="V34" s="11"/>
      <c r="W34" s="26">
        <f t="shared" si="0"/>
        <v>7957.7471545947683</v>
      </c>
      <c r="X34" s="27">
        <f t="shared" si="1"/>
        <v>1.6336281798666925E-2</v>
      </c>
      <c r="Y34" s="29">
        <f t="shared" si="2"/>
        <v>0</v>
      </c>
      <c r="Z34" s="29">
        <f t="shared" si="16"/>
        <v>7957.7308183129699</v>
      </c>
      <c r="AB34" s="26">
        <f t="shared" si="3"/>
        <v>79577.471545947672</v>
      </c>
      <c r="AC34" s="27">
        <f t="shared" si="4"/>
        <v>1.1309733552923255E-2</v>
      </c>
      <c r="AD34" s="29">
        <f t="shared" si="5"/>
        <v>0</v>
      </c>
      <c r="AE34" s="29">
        <f t="shared" si="17"/>
        <v>79577.460236214116</v>
      </c>
      <c r="AG34" s="26">
        <f t="shared" si="6"/>
        <v>795774.71545947669</v>
      </c>
      <c r="AH34" s="27">
        <f t="shared" si="7"/>
        <v>8.7964594300514194E-3</v>
      </c>
      <c r="AI34" s="29">
        <f t="shared" si="8"/>
        <v>0</v>
      </c>
      <c r="AJ34" s="29">
        <f t="shared" si="18"/>
        <v>795774.70666301728</v>
      </c>
      <c r="AL34" s="26">
        <f t="shared" si="9"/>
        <v>7957747.1545947678</v>
      </c>
      <c r="AM34" s="27">
        <f t="shared" si="10"/>
        <v>7.5398223686155034E-3</v>
      </c>
      <c r="AN34" s="29">
        <f t="shared" si="11"/>
        <v>0</v>
      </c>
      <c r="AO34" s="29">
        <f t="shared" si="19"/>
        <v>7957747.1470549451</v>
      </c>
      <c r="AQ34" s="26">
        <f t="shared" si="20"/>
        <v>79577471.545947671</v>
      </c>
      <c r="AR34" s="27">
        <f t="shared" si="21"/>
        <v>5.0265482457436689E-3</v>
      </c>
      <c r="AS34" s="29">
        <f t="shared" si="22"/>
        <v>0</v>
      </c>
      <c r="AT34" s="29">
        <f t="shared" si="23"/>
        <v>79577471.540921122</v>
      </c>
      <c r="AV34" s="26">
        <f t="shared" si="24"/>
        <v>795774715.45947671</v>
      </c>
      <c r="AW34" s="27">
        <f t="shared" si="25"/>
        <v>1.2566370614359172E-3</v>
      </c>
      <c r="AX34" s="29">
        <f t="shared" si="26"/>
        <v>0</v>
      </c>
      <c r="AY34" s="29">
        <f t="shared" si="27"/>
        <v>795774715.45822012</v>
      </c>
    </row>
    <row r="35" spans="2:51" x14ac:dyDescent="0.3">
      <c r="B35" s="2" t="s">
        <v>193</v>
      </c>
      <c r="C35" s="55">
        <v>1</v>
      </c>
      <c r="D35" s="4"/>
      <c r="Q35" s="22">
        <v>3000</v>
      </c>
      <c r="R35" s="26">
        <f t="shared" si="12"/>
        <v>530.51647697298449</v>
      </c>
      <c r="S35" s="27">
        <f t="shared" si="13"/>
        <v>9.4247779607693802E-2</v>
      </c>
      <c r="T35" s="28">
        <f t="shared" si="14"/>
        <v>0</v>
      </c>
      <c r="U35" s="29">
        <f t="shared" si="15"/>
        <v>530.42222919337678</v>
      </c>
      <c r="V35" s="11"/>
      <c r="W35" s="26">
        <f t="shared" si="0"/>
        <v>5305.1647697298449</v>
      </c>
      <c r="X35" s="27">
        <f t="shared" si="1"/>
        <v>2.4504422698000385E-2</v>
      </c>
      <c r="Y35" s="29">
        <f t="shared" si="2"/>
        <v>0</v>
      </c>
      <c r="Z35" s="29">
        <f t="shared" si="16"/>
        <v>5305.1402653071473</v>
      </c>
      <c r="AB35" s="26">
        <f t="shared" si="3"/>
        <v>53051.647697298446</v>
      </c>
      <c r="AC35" s="27">
        <f t="shared" si="4"/>
        <v>1.6964600329384887E-2</v>
      </c>
      <c r="AD35" s="29">
        <f t="shared" si="5"/>
        <v>0</v>
      </c>
      <c r="AE35" s="29">
        <f t="shared" si="17"/>
        <v>53051.630732698119</v>
      </c>
      <c r="AG35" s="26">
        <f t="shared" si="6"/>
        <v>530516.4769729845</v>
      </c>
      <c r="AH35" s="27">
        <f t="shared" si="7"/>
        <v>1.3194689145077132E-2</v>
      </c>
      <c r="AI35" s="29">
        <f t="shared" si="8"/>
        <v>0</v>
      </c>
      <c r="AJ35" s="29">
        <f t="shared" si="18"/>
        <v>530516.46377829532</v>
      </c>
      <c r="AL35" s="26">
        <f t="shared" si="9"/>
        <v>5305164.7697298443</v>
      </c>
      <c r="AM35" s="27">
        <f t="shared" si="10"/>
        <v>1.1309733552923255E-2</v>
      </c>
      <c r="AN35" s="29">
        <f t="shared" si="11"/>
        <v>0</v>
      </c>
      <c r="AO35" s="29">
        <f t="shared" si="19"/>
        <v>5305164.7584201107</v>
      </c>
      <c r="AQ35" s="26">
        <f t="shared" si="20"/>
        <v>53051647.697298445</v>
      </c>
      <c r="AR35" s="27">
        <f t="shared" si="21"/>
        <v>7.5398223686155052E-3</v>
      </c>
      <c r="AS35" s="29">
        <f t="shared" si="22"/>
        <v>0</v>
      </c>
      <c r="AT35" s="29">
        <f t="shared" si="23"/>
        <v>53051647.689758621</v>
      </c>
      <c r="AV35" s="26">
        <f t="shared" si="24"/>
        <v>530516476.97298449</v>
      </c>
      <c r="AW35" s="27">
        <f t="shared" si="25"/>
        <v>1.8849555921538763E-3</v>
      </c>
      <c r="AX35" s="29">
        <f t="shared" si="26"/>
        <v>0</v>
      </c>
      <c r="AY35" s="29">
        <f t="shared" si="27"/>
        <v>530516476.97109956</v>
      </c>
    </row>
    <row r="36" spans="2:51" ht="15.6" x14ac:dyDescent="0.35">
      <c r="B36" s="2" t="s">
        <v>222</v>
      </c>
      <c r="C36" s="43">
        <f>C35*C32</f>
        <v>0.1</v>
      </c>
      <c r="D36" s="10" t="s">
        <v>8</v>
      </c>
      <c r="Q36" s="22">
        <v>4000</v>
      </c>
      <c r="R36" s="26">
        <f t="shared" si="12"/>
        <v>397.88735772973843</v>
      </c>
      <c r="S36" s="27">
        <f t="shared" si="13"/>
        <v>0.12566370614359171</v>
      </c>
      <c r="T36" s="28">
        <f t="shared" si="14"/>
        <v>0</v>
      </c>
      <c r="U36" s="29">
        <f t="shared" si="15"/>
        <v>397.76169402359483</v>
      </c>
      <c r="V36" s="11"/>
      <c r="W36" s="26">
        <f t="shared" si="0"/>
        <v>3978.8735772973841</v>
      </c>
      <c r="X36" s="27">
        <f t="shared" si="1"/>
        <v>3.2672563597333851E-2</v>
      </c>
      <c r="Y36" s="29">
        <f t="shared" si="2"/>
        <v>0</v>
      </c>
      <c r="Z36" s="29">
        <f t="shared" si="16"/>
        <v>3978.8409047337868</v>
      </c>
      <c r="AB36" s="26">
        <f t="shared" si="3"/>
        <v>39788.735772973836</v>
      </c>
      <c r="AC36" s="27">
        <f t="shared" si="4"/>
        <v>2.2619467105846509E-2</v>
      </c>
      <c r="AD36" s="29">
        <f t="shared" si="5"/>
        <v>0</v>
      </c>
      <c r="AE36" s="29">
        <f t="shared" si="17"/>
        <v>39788.713153506731</v>
      </c>
      <c r="AG36" s="26">
        <f t="shared" si="6"/>
        <v>397887.35772973835</v>
      </c>
      <c r="AH36" s="27">
        <f t="shared" si="7"/>
        <v>1.7592918860102839E-2</v>
      </c>
      <c r="AI36" s="29">
        <f t="shared" si="8"/>
        <v>0</v>
      </c>
      <c r="AJ36" s="29">
        <f t="shared" si="18"/>
        <v>397887.34013681946</v>
      </c>
      <c r="AL36" s="26">
        <f t="shared" si="9"/>
        <v>3978873.5772973839</v>
      </c>
      <c r="AM36" s="27">
        <f t="shared" si="10"/>
        <v>1.5079644737231007E-2</v>
      </c>
      <c r="AN36" s="29">
        <f t="shared" si="11"/>
        <v>0</v>
      </c>
      <c r="AO36" s="29">
        <f t="shared" si="19"/>
        <v>3978873.5622177394</v>
      </c>
      <c r="AQ36" s="26">
        <f t="shared" si="20"/>
        <v>39788735.772973835</v>
      </c>
      <c r="AR36" s="27">
        <f t="shared" si="21"/>
        <v>1.0053096491487338E-2</v>
      </c>
      <c r="AS36" s="29">
        <f t="shared" si="22"/>
        <v>0</v>
      </c>
      <c r="AT36" s="29">
        <f t="shared" si="23"/>
        <v>39788735.762920737</v>
      </c>
      <c r="AV36" s="26">
        <f t="shared" si="24"/>
        <v>397887357.72973835</v>
      </c>
      <c r="AW36" s="27">
        <f t="shared" si="25"/>
        <v>2.5132741228718345E-3</v>
      </c>
      <c r="AX36" s="29">
        <f t="shared" si="26"/>
        <v>0</v>
      </c>
      <c r="AY36" s="29">
        <f t="shared" si="27"/>
        <v>397887357.72722507</v>
      </c>
    </row>
    <row r="37" spans="2:51" x14ac:dyDescent="0.3">
      <c r="B37" s="2" t="s">
        <v>223</v>
      </c>
      <c r="C37" s="43">
        <f>C33/C35</f>
        <v>0</v>
      </c>
      <c r="D37" s="4" t="s">
        <v>21</v>
      </c>
      <c r="Q37" s="22">
        <v>5000</v>
      </c>
      <c r="R37" s="26">
        <f t="shared" si="12"/>
        <v>318.30988618379075</v>
      </c>
      <c r="S37" s="27">
        <f t="shared" si="13"/>
        <v>0.15707963267948966</v>
      </c>
      <c r="T37" s="28">
        <f t="shared" si="14"/>
        <v>0</v>
      </c>
      <c r="U37" s="29">
        <f t="shared" si="15"/>
        <v>318.15280655111127</v>
      </c>
      <c r="V37" s="11"/>
      <c r="W37" s="26">
        <f t="shared" si="0"/>
        <v>3183.098861837907</v>
      </c>
      <c r="X37" s="27">
        <f t="shared" si="1"/>
        <v>4.084070449666731E-2</v>
      </c>
      <c r="Y37" s="29">
        <f t="shared" si="2"/>
        <v>0</v>
      </c>
      <c r="Z37" s="29">
        <f t="shared" si="16"/>
        <v>3183.0580211334104</v>
      </c>
      <c r="AB37" s="26">
        <f t="shared" si="3"/>
        <v>31830.988618379066</v>
      </c>
      <c r="AC37" s="27">
        <f t="shared" si="4"/>
        <v>2.8274333882308142E-2</v>
      </c>
      <c r="AD37" s="29">
        <f t="shared" si="5"/>
        <v>0</v>
      </c>
      <c r="AE37" s="29">
        <f t="shared" si="17"/>
        <v>31830.960344045183</v>
      </c>
      <c r="AG37" s="26">
        <f t="shared" si="6"/>
        <v>318309.88618379069</v>
      </c>
      <c r="AH37" s="27">
        <f t="shared" si="7"/>
        <v>2.1991148575128551E-2</v>
      </c>
      <c r="AI37" s="29">
        <f t="shared" si="8"/>
        <v>0</v>
      </c>
      <c r="AJ37" s="29">
        <f t="shared" si="18"/>
        <v>318309.8641926421</v>
      </c>
      <c r="AL37" s="26">
        <f t="shared" si="9"/>
        <v>3183098.8618379068</v>
      </c>
      <c r="AM37" s="27">
        <f t="shared" si="10"/>
        <v>1.8849555921538759E-2</v>
      </c>
      <c r="AN37" s="29">
        <f t="shared" si="11"/>
        <v>0</v>
      </c>
      <c r="AO37" s="29">
        <f t="shared" si="19"/>
        <v>3183098.8429883509</v>
      </c>
      <c r="AQ37" s="26">
        <f t="shared" si="20"/>
        <v>31830988.618379071</v>
      </c>
      <c r="AR37" s="27">
        <f t="shared" si="21"/>
        <v>1.2566370614359175E-2</v>
      </c>
      <c r="AS37" s="29">
        <f t="shared" si="22"/>
        <v>0</v>
      </c>
      <c r="AT37" s="29">
        <f t="shared" si="23"/>
        <v>31830988.605812702</v>
      </c>
      <c r="AV37" s="26">
        <f t="shared" si="24"/>
        <v>318309886.18379068</v>
      </c>
      <c r="AW37" s="27">
        <f t="shared" si="25"/>
        <v>3.1415926535897937E-3</v>
      </c>
      <c r="AX37" s="29">
        <f t="shared" si="26"/>
        <v>0</v>
      </c>
      <c r="AY37" s="29">
        <f t="shared" si="27"/>
        <v>318309886.1806491</v>
      </c>
    </row>
    <row r="38" spans="2:51" x14ac:dyDescent="0.3">
      <c r="B38" s="2" t="s">
        <v>224</v>
      </c>
      <c r="C38" s="43">
        <f>C34/C35</f>
        <v>0.7</v>
      </c>
      <c r="D38" s="4" t="s">
        <v>5</v>
      </c>
      <c r="Q38" s="22">
        <v>6000</v>
      </c>
      <c r="R38" s="26">
        <f t="shared" si="12"/>
        <v>265.25823848649225</v>
      </c>
      <c r="S38" s="27">
        <f t="shared" si="13"/>
        <v>0.1884955592153876</v>
      </c>
      <c r="T38" s="28">
        <f t="shared" si="14"/>
        <v>0</v>
      </c>
      <c r="U38" s="29">
        <f t="shared" si="15"/>
        <v>265.06974292727688</v>
      </c>
      <c r="V38" s="11"/>
      <c r="W38" s="26">
        <f t="shared" ref="W38:W69" si="28">1000/(2*PI()*$Q38*$C$14*0.000001)</f>
        <v>2652.5823848649225</v>
      </c>
      <c r="X38" s="27">
        <f t="shared" ref="X38:X69" si="29">2*PI()*$Q38*((0.000000001*$C$16))*1000</f>
        <v>4.9008845396000769E-2</v>
      </c>
      <c r="Y38" s="29">
        <f t="shared" ref="Y38:Y69" si="30">($C$15)</f>
        <v>0</v>
      </c>
      <c r="Z38" s="29">
        <f t="shared" si="16"/>
        <v>2652.5333760195263</v>
      </c>
      <c r="AB38" s="26">
        <f t="shared" ref="AB38:AB69" si="31">1000/(2*PI()*$Q38*$C$26*$C$23*0.000001)</f>
        <v>26525.823848649223</v>
      </c>
      <c r="AC38" s="27">
        <f t="shared" ref="AC38:AC69" si="32">2*PI()*$Q38*((0.000000001*$C$25)/$C$26)*1000</f>
        <v>3.3929200658769774E-2</v>
      </c>
      <c r="AD38" s="29">
        <f t="shared" ref="AD38:AD69" si="33">($C$24)/$C$26</f>
        <v>0</v>
      </c>
      <c r="AE38" s="29">
        <f t="shared" si="17"/>
        <v>26525.789919448565</v>
      </c>
      <c r="AG38" s="26">
        <f t="shared" ref="AG38:AG69" si="34">1000/(2*PI()*$Q38*$C$32*0.000001)</f>
        <v>265258.23848649225</v>
      </c>
      <c r="AH38" s="27">
        <f t="shared" ref="AH38:AH69" si="35">2*PI()*$Q38*((0.000000001*$C$34))*1000</f>
        <v>2.6389378290154263E-2</v>
      </c>
      <c r="AI38" s="29">
        <f t="shared" ref="AI38:AI69" si="36">($C$33)</f>
        <v>0</v>
      </c>
      <c r="AJ38" s="29">
        <f t="shared" si="18"/>
        <v>265258.21209711395</v>
      </c>
      <c r="AL38" s="26">
        <f t="shared" ref="AL38:AL69" si="37">1000/(2*PI()*$Q38*$C$41*0.000001)</f>
        <v>2652582.3848649221</v>
      </c>
      <c r="AM38" s="27">
        <f t="shared" ref="AM38:AM69" si="38">2*PI()*$Q38*((0.000000001*$C$43))*1000</f>
        <v>2.2619467105846509E-2</v>
      </c>
      <c r="AN38" s="29">
        <f t="shared" ref="AN38:AN69" si="39">($C$42)</f>
        <v>0</v>
      </c>
      <c r="AO38" s="29">
        <f t="shared" si="19"/>
        <v>2652582.3622454549</v>
      </c>
      <c r="AQ38" s="26">
        <f t="shared" si="20"/>
        <v>26525823.848649222</v>
      </c>
      <c r="AR38" s="27">
        <f t="shared" si="21"/>
        <v>1.507964473723101E-2</v>
      </c>
      <c r="AS38" s="29">
        <f t="shared" si="22"/>
        <v>0</v>
      </c>
      <c r="AT38" s="29">
        <f t="shared" si="23"/>
        <v>26525823.833569579</v>
      </c>
      <c r="AV38" s="26">
        <f t="shared" si="24"/>
        <v>265258238.48649225</v>
      </c>
      <c r="AW38" s="27">
        <f t="shared" si="25"/>
        <v>3.7699111843077526E-3</v>
      </c>
      <c r="AX38" s="29">
        <f t="shared" si="26"/>
        <v>0</v>
      </c>
      <c r="AY38" s="29">
        <f t="shared" si="27"/>
        <v>265258238.48272234</v>
      </c>
    </row>
    <row r="39" spans="2:51" x14ac:dyDescent="0.3">
      <c r="B39" s="2" t="s">
        <v>225</v>
      </c>
      <c r="C39" s="47">
        <f>(1/(2*PI()*(SQRT(C32*0.000001*C34*0.000000001))))*0.000001</f>
        <v>19.022654130042064</v>
      </c>
      <c r="D39" s="4" t="s">
        <v>87</v>
      </c>
      <c r="Q39" s="22">
        <v>7000</v>
      </c>
      <c r="R39" s="26">
        <f t="shared" si="12"/>
        <v>227.3642044169934</v>
      </c>
      <c r="S39" s="27">
        <f t="shared" si="13"/>
        <v>0.21991148575128552</v>
      </c>
      <c r="T39" s="28">
        <f t="shared" si="14"/>
        <v>0</v>
      </c>
      <c r="U39" s="29">
        <f t="shared" si="15"/>
        <v>227.14429293124212</v>
      </c>
      <c r="V39" s="11"/>
      <c r="W39" s="26">
        <f t="shared" si="28"/>
        <v>2273.6420441699338</v>
      </c>
      <c r="X39" s="27">
        <f t="shared" si="29"/>
        <v>5.7176986295334235E-2</v>
      </c>
      <c r="Y39" s="29">
        <f t="shared" si="30"/>
        <v>0</v>
      </c>
      <c r="Z39" s="29">
        <f t="shared" si="16"/>
        <v>2273.5848671836384</v>
      </c>
      <c r="AB39" s="26">
        <f t="shared" si="31"/>
        <v>22736.420441699334</v>
      </c>
      <c r="AC39" s="27">
        <f t="shared" si="32"/>
        <v>3.9584067435231393E-2</v>
      </c>
      <c r="AD39" s="29">
        <f t="shared" si="33"/>
        <v>0</v>
      </c>
      <c r="AE39" s="29">
        <f t="shared" si="17"/>
        <v>22736.380857631899</v>
      </c>
      <c r="AG39" s="26">
        <f t="shared" si="34"/>
        <v>227364.20441699339</v>
      </c>
      <c r="AH39" s="27">
        <f t="shared" si="35"/>
        <v>3.0787608005179972E-2</v>
      </c>
      <c r="AI39" s="29">
        <f t="shared" si="36"/>
        <v>0</v>
      </c>
      <c r="AJ39" s="29">
        <f t="shared" si="18"/>
        <v>227364.17362938539</v>
      </c>
      <c r="AL39" s="26">
        <f t="shared" si="37"/>
        <v>2273642.0441699335</v>
      </c>
      <c r="AM39" s="27">
        <f t="shared" si="38"/>
        <v>2.6389378290154263E-2</v>
      </c>
      <c r="AN39" s="29">
        <f t="shared" si="39"/>
        <v>0</v>
      </c>
      <c r="AO39" s="29">
        <f t="shared" si="19"/>
        <v>2273642.0177805554</v>
      </c>
      <c r="AQ39" s="26">
        <f t="shared" si="20"/>
        <v>22736420.441699333</v>
      </c>
      <c r="AR39" s="27">
        <f t="shared" si="21"/>
        <v>1.7592918860102842E-2</v>
      </c>
      <c r="AS39" s="29">
        <f t="shared" si="22"/>
        <v>0</v>
      </c>
      <c r="AT39" s="29">
        <f t="shared" si="23"/>
        <v>22736420.424106415</v>
      </c>
      <c r="AV39" s="26">
        <f t="shared" si="24"/>
        <v>227364204.41699338</v>
      </c>
      <c r="AW39" s="27">
        <f t="shared" si="25"/>
        <v>4.3982297150257105E-3</v>
      </c>
      <c r="AX39" s="29">
        <f t="shared" si="26"/>
        <v>0</v>
      </c>
      <c r="AY39" s="29">
        <f t="shared" si="27"/>
        <v>227364204.41259515</v>
      </c>
    </row>
    <row r="40" spans="2:51" x14ac:dyDescent="0.3">
      <c r="Q40" s="22">
        <v>8000</v>
      </c>
      <c r="R40" s="26">
        <f t="shared" si="12"/>
        <v>198.94367886486921</v>
      </c>
      <c r="S40" s="27">
        <f t="shared" si="13"/>
        <v>0.25132741228718342</v>
      </c>
      <c r="T40" s="28">
        <f t="shared" si="14"/>
        <v>0</v>
      </c>
      <c r="U40" s="29">
        <f t="shared" si="15"/>
        <v>198.69235145258202</v>
      </c>
      <c r="V40" s="11"/>
      <c r="W40" s="26">
        <f t="shared" si="28"/>
        <v>1989.4367886486921</v>
      </c>
      <c r="X40" s="27">
        <f t="shared" si="29"/>
        <v>6.5345127194667701E-2</v>
      </c>
      <c r="Y40" s="29">
        <f t="shared" si="30"/>
        <v>0</v>
      </c>
      <c r="Z40" s="29">
        <f t="shared" si="16"/>
        <v>1989.3714435214974</v>
      </c>
      <c r="AB40" s="26">
        <f t="shared" si="31"/>
        <v>19894.367886486918</v>
      </c>
      <c r="AC40" s="27">
        <f t="shared" si="32"/>
        <v>4.5238934211693019E-2</v>
      </c>
      <c r="AD40" s="29">
        <f t="shared" si="33"/>
        <v>0</v>
      </c>
      <c r="AE40" s="29">
        <f t="shared" si="17"/>
        <v>19894.322647552708</v>
      </c>
      <c r="AG40" s="26">
        <f t="shared" si="34"/>
        <v>198943.67886486917</v>
      </c>
      <c r="AH40" s="27">
        <f t="shared" si="35"/>
        <v>3.5185837720205677E-2</v>
      </c>
      <c r="AI40" s="29">
        <f t="shared" si="36"/>
        <v>0</v>
      </c>
      <c r="AJ40" s="29">
        <f t="shared" si="18"/>
        <v>198943.64367903146</v>
      </c>
      <c r="AL40" s="26">
        <f t="shared" si="37"/>
        <v>1989436.788648692</v>
      </c>
      <c r="AM40" s="27">
        <f t="shared" si="38"/>
        <v>3.0159289474462014E-2</v>
      </c>
      <c r="AN40" s="29">
        <f t="shared" si="39"/>
        <v>0</v>
      </c>
      <c r="AO40" s="29">
        <f t="shared" si="19"/>
        <v>1989436.7584894025</v>
      </c>
      <c r="AQ40" s="26">
        <f t="shared" si="20"/>
        <v>19894367.886486918</v>
      </c>
      <c r="AR40" s="27">
        <f t="shared" si="21"/>
        <v>2.0106192982974676E-2</v>
      </c>
      <c r="AS40" s="29">
        <f t="shared" si="22"/>
        <v>0</v>
      </c>
      <c r="AT40" s="29">
        <f t="shared" si="23"/>
        <v>19894367.866380725</v>
      </c>
      <c r="AV40" s="26">
        <f t="shared" si="24"/>
        <v>198943678.86486918</v>
      </c>
      <c r="AW40" s="27">
        <f t="shared" si="25"/>
        <v>5.0265482457436689E-3</v>
      </c>
      <c r="AX40" s="29">
        <f t="shared" si="26"/>
        <v>0</v>
      </c>
      <c r="AY40" s="29">
        <f t="shared" si="27"/>
        <v>198943678.85984263</v>
      </c>
    </row>
    <row r="41" spans="2:51" ht="15.6" x14ac:dyDescent="0.35">
      <c r="B41" s="2" t="s">
        <v>226</v>
      </c>
      <c r="C41" s="55">
        <v>0.01</v>
      </c>
      <c r="D41" s="10" t="s">
        <v>8</v>
      </c>
      <c r="Q41" s="22">
        <v>9000</v>
      </c>
      <c r="R41" s="26">
        <f t="shared" si="12"/>
        <v>176.83882565766149</v>
      </c>
      <c r="S41" s="27">
        <f t="shared" si="13"/>
        <v>0.28274333882308145</v>
      </c>
      <c r="T41" s="28">
        <f t="shared" si="14"/>
        <v>0</v>
      </c>
      <c r="U41" s="29">
        <f t="shared" si="15"/>
        <v>176.55608231883841</v>
      </c>
      <c r="V41" s="11"/>
      <c r="W41" s="26">
        <f t="shared" si="28"/>
        <v>1768.3882565766148</v>
      </c>
      <c r="X41" s="27">
        <f t="shared" si="29"/>
        <v>7.3513268094001161E-2</v>
      </c>
      <c r="Y41" s="29">
        <f t="shared" si="30"/>
        <v>0</v>
      </c>
      <c r="Z41" s="29">
        <f t="shared" si="16"/>
        <v>1768.3147433085207</v>
      </c>
      <c r="AB41" s="26">
        <f t="shared" si="31"/>
        <v>17683.882565766147</v>
      </c>
      <c r="AC41" s="27">
        <f t="shared" si="32"/>
        <v>5.0893800988154658E-2</v>
      </c>
      <c r="AD41" s="29">
        <f t="shared" si="33"/>
        <v>0</v>
      </c>
      <c r="AE41" s="29">
        <f t="shared" si="17"/>
        <v>17683.831671965159</v>
      </c>
      <c r="AG41" s="26">
        <f t="shared" si="34"/>
        <v>176838.82565766148</v>
      </c>
      <c r="AH41" s="27">
        <f t="shared" si="35"/>
        <v>3.9584067435231393E-2</v>
      </c>
      <c r="AI41" s="29">
        <f t="shared" si="36"/>
        <v>0</v>
      </c>
      <c r="AJ41" s="29">
        <f t="shared" si="18"/>
        <v>176838.78607359403</v>
      </c>
      <c r="AL41" s="26">
        <f t="shared" si="37"/>
        <v>1768388.2565766149</v>
      </c>
      <c r="AM41" s="27">
        <f t="shared" si="38"/>
        <v>3.3929200658769768E-2</v>
      </c>
      <c r="AN41" s="29">
        <f t="shared" si="39"/>
        <v>0</v>
      </c>
      <c r="AO41" s="29">
        <f t="shared" si="19"/>
        <v>1768388.2226474143</v>
      </c>
      <c r="AQ41" s="26">
        <f t="shared" si="20"/>
        <v>17683882.565766148</v>
      </c>
      <c r="AR41" s="27">
        <f t="shared" si="21"/>
        <v>2.2619467105846516E-2</v>
      </c>
      <c r="AS41" s="29">
        <f t="shared" si="22"/>
        <v>0</v>
      </c>
      <c r="AT41" s="29">
        <f t="shared" si="23"/>
        <v>17683882.543146681</v>
      </c>
      <c r="AV41" s="26">
        <f t="shared" si="24"/>
        <v>176838825.65766147</v>
      </c>
      <c r="AW41" s="27">
        <f t="shared" si="25"/>
        <v>5.6548667764616291E-3</v>
      </c>
      <c r="AX41" s="29">
        <f t="shared" si="26"/>
        <v>0</v>
      </c>
      <c r="AY41" s="29">
        <f t="shared" si="27"/>
        <v>176838825.6520066</v>
      </c>
    </row>
    <row r="42" spans="2:51" x14ac:dyDescent="0.3">
      <c r="B42" s="2" t="s">
        <v>227</v>
      </c>
      <c r="C42" s="55">
        <v>0</v>
      </c>
      <c r="D42" s="4" t="s">
        <v>21</v>
      </c>
      <c r="Q42" s="22">
        <v>10000</v>
      </c>
      <c r="R42" s="26">
        <f t="shared" si="12"/>
        <v>159.15494309189538</v>
      </c>
      <c r="S42" s="27">
        <f t="shared" si="13"/>
        <v>0.31415926535897931</v>
      </c>
      <c r="T42" s="28">
        <f t="shared" si="14"/>
        <v>0</v>
      </c>
      <c r="U42" s="29">
        <f t="shared" si="15"/>
        <v>158.84078382653641</v>
      </c>
      <c r="V42" s="11"/>
      <c r="W42" s="26">
        <f t="shared" si="28"/>
        <v>1591.5494309189535</v>
      </c>
      <c r="X42" s="27">
        <f t="shared" si="29"/>
        <v>8.168140899333462E-2</v>
      </c>
      <c r="Y42" s="29">
        <f t="shared" si="30"/>
        <v>0</v>
      </c>
      <c r="Z42" s="29">
        <f t="shared" si="16"/>
        <v>1591.4677495099602</v>
      </c>
      <c r="AB42" s="26">
        <f t="shared" si="31"/>
        <v>15915.494309189533</v>
      </c>
      <c r="AC42" s="27">
        <f t="shared" si="32"/>
        <v>5.6548667764616284E-2</v>
      </c>
      <c r="AD42" s="29">
        <f t="shared" si="33"/>
        <v>0</v>
      </c>
      <c r="AE42" s="29">
        <f t="shared" si="17"/>
        <v>15915.437760521769</v>
      </c>
      <c r="AG42" s="26">
        <f t="shared" si="34"/>
        <v>159154.94309189534</v>
      </c>
      <c r="AH42" s="27">
        <f t="shared" si="35"/>
        <v>4.3982297150257102E-2</v>
      </c>
      <c r="AI42" s="29">
        <f t="shared" si="36"/>
        <v>0</v>
      </c>
      <c r="AJ42" s="29">
        <f t="shared" si="18"/>
        <v>159154.89910959819</v>
      </c>
      <c r="AL42" s="26">
        <f t="shared" si="37"/>
        <v>1591549.4309189534</v>
      </c>
      <c r="AM42" s="27">
        <f t="shared" si="38"/>
        <v>3.7699111843077518E-2</v>
      </c>
      <c r="AN42" s="29">
        <f t="shared" si="39"/>
        <v>0</v>
      </c>
      <c r="AO42" s="29">
        <f t="shared" si="19"/>
        <v>1591549.3932198416</v>
      </c>
      <c r="AQ42" s="26">
        <f t="shared" si="20"/>
        <v>15915494.309189536</v>
      </c>
      <c r="AR42" s="27">
        <f t="shared" si="21"/>
        <v>2.513274122871835E-2</v>
      </c>
      <c r="AS42" s="29">
        <f t="shared" si="22"/>
        <v>0</v>
      </c>
      <c r="AT42" s="29">
        <f t="shared" si="23"/>
        <v>15915494.284056794</v>
      </c>
      <c r="AV42" s="26">
        <f t="shared" si="24"/>
        <v>159154943.09189534</v>
      </c>
      <c r="AW42" s="27">
        <f t="shared" si="25"/>
        <v>6.2831853071795875E-3</v>
      </c>
      <c r="AX42" s="29">
        <f t="shared" si="26"/>
        <v>0</v>
      </c>
      <c r="AY42" s="29">
        <f t="shared" si="27"/>
        <v>159154943.08561215</v>
      </c>
    </row>
    <row r="43" spans="2:51" x14ac:dyDescent="0.3">
      <c r="B43" s="2" t="s">
        <v>228</v>
      </c>
      <c r="C43" s="55">
        <v>0.6</v>
      </c>
      <c r="D43" s="4" t="s">
        <v>5</v>
      </c>
      <c r="Q43" s="22">
        <v>20000</v>
      </c>
      <c r="R43" s="26">
        <f t="shared" si="12"/>
        <v>79.577471545947688</v>
      </c>
      <c r="S43" s="27">
        <f t="shared" si="13"/>
        <v>0.62831853071795862</v>
      </c>
      <c r="T43" s="28">
        <f t="shared" si="14"/>
        <v>0</v>
      </c>
      <c r="U43" s="29">
        <f t="shared" si="15"/>
        <v>78.949153015229726</v>
      </c>
      <c r="V43" s="11"/>
      <c r="W43" s="26">
        <f t="shared" si="28"/>
        <v>795.77471545947674</v>
      </c>
      <c r="X43" s="27">
        <f t="shared" si="29"/>
        <v>0.16336281798666924</v>
      </c>
      <c r="Y43" s="29">
        <f t="shared" si="30"/>
        <v>0</v>
      </c>
      <c r="Z43" s="29">
        <f t="shared" si="16"/>
        <v>795.61135264149004</v>
      </c>
      <c r="AB43" s="26">
        <f t="shared" si="31"/>
        <v>7957.7471545947665</v>
      </c>
      <c r="AC43" s="27">
        <f t="shared" si="32"/>
        <v>0.11309733552923257</v>
      </c>
      <c r="AD43" s="29">
        <f t="shared" si="33"/>
        <v>0</v>
      </c>
      <c r="AE43" s="29">
        <f t="shared" si="17"/>
        <v>7957.6340572592371</v>
      </c>
      <c r="AG43" s="26">
        <f t="shared" si="34"/>
        <v>79577.471545947672</v>
      </c>
      <c r="AH43" s="27">
        <f t="shared" si="35"/>
        <v>8.7964594300514204E-2</v>
      </c>
      <c r="AI43" s="29">
        <f t="shared" si="36"/>
        <v>0</v>
      </c>
      <c r="AJ43" s="29">
        <f t="shared" si="18"/>
        <v>79577.383581353366</v>
      </c>
      <c r="AL43" s="26">
        <f t="shared" si="37"/>
        <v>795774.71545947669</v>
      </c>
      <c r="AM43" s="27">
        <f t="shared" si="38"/>
        <v>7.5398223686155036E-2</v>
      </c>
      <c r="AN43" s="29">
        <f t="shared" si="39"/>
        <v>0</v>
      </c>
      <c r="AO43" s="29">
        <f t="shared" si="19"/>
        <v>795774.64006125298</v>
      </c>
      <c r="AQ43" s="26">
        <f t="shared" si="20"/>
        <v>7957747.1545947678</v>
      </c>
      <c r="AR43" s="27">
        <f t="shared" si="21"/>
        <v>5.02654824574367E-2</v>
      </c>
      <c r="AS43" s="29">
        <f t="shared" si="22"/>
        <v>0</v>
      </c>
      <c r="AT43" s="29">
        <f t="shared" si="23"/>
        <v>7957747.1043292852</v>
      </c>
      <c r="AV43" s="26">
        <f t="shared" si="24"/>
        <v>79577471.545947671</v>
      </c>
      <c r="AW43" s="27">
        <f t="shared" si="25"/>
        <v>1.2566370614359175E-2</v>
      </c>
      <c r="AX43" s="29">
        <f t="shared" si="26"/>
        <v>0</v>
      </c>
      <c r="AY43" s="29">
        <f t="shared" si="27"/>
        <v>79577471.533381298</v>
      </c>
    </row>
    <row r="44" spans="2:51" x14ac:dyDescent="0.3">
      <c r="B44" s="2" t="s">
        <v>193</v>
      </c>
      <c r="C44" s="55">
        <v>1</v>
      </c>
      <c r="D44" s="4"/>
      <c r="Q44" s="22">
        <v>30000</v>
      </c>
      <c r="R44" s="26">
        <f t="shared" si="12"/>
        <v>53.051647697298449</v>
      </c>
      <c r="S44" s="27">
        <f t="shared" si="13"/>
        <v>0.94247779607693793</v>
      </c>
      <c r="T44" s="28">
        <f t="shared" si="14"/>
        <v>0</v>
      </c>
      <c r="U44" s="29">
        <f t="shared" si="15"/>
        <v>52.109169901221513</v>
      </c>
      <c r="V44" s="11"/>
      <c r="W44" s="26">
        <f t="shared" si="28"/>
        <v>530.51647697298449</v>
      </c>
      <c r="X44" s="27">
        <f t="shared" si="29"/>
        <v>0.24504422698000389</v>
      </c>
      <c r="Y44" s="29">
        <f t="shared" si="30"/>
        <v>0</v>
      </c>
      <c r="Z44" s="29">
        <f t="shared" si="16"/>
        <v>530.27143274600451</v>
      </c>
      <c r="AB44" s="26">
        <f t="shared" si="31"/>
        <v>5305.1647697298449</v>
      </c>
      <c r="AC44" s="27">
        <f t="shared" si="32"/>
        <v>0.16964600329384885</v>
      </c>
      <c r="AD44" s="29">
        <f t="shared" si="33"/>
        <v>0</v>
      </c>
      <c r="AE44" s="29">
        <f t="shared" si="17"/>
        <v>5304.9951237265514</v>
      </c>
      <c r="AG44" s="26">
        <f t="shared" si="34"/>
        <v>53051.647697298446</v>
      </c>
      <c r="AH44" s="27">
        <f t="shared" si="35"/>
        <v>0.13194689145077129</v>
      </c>
      <c r="AI44" s="29">
        <f t="shared" si="36"/>
        <v>0</v>
      </c>
      <c r="AJ44" s="29">
        <f t="shared" si="18"/>
        <v>53051.515750406994</v>
      </c>
      <c r="AL44" s="26">
        <f t="shared" si="37"/>
        <v>530516.4769729845</v>
      </c>
      <c r="AM44" s="27">
        <f t="shared" si="38"/>
        <v>0.11309733552923255</v>
      </c>
      <c r="AN44" s="29">
        <f t="shared" si="39"/>
        <v>0</v>
      </c>
      <c r="AO44" s="29">
        <f t="shared" si="19"/>
        <v>530516.36387564894</v>
      </c>
      <c r="AQ44" s="26">
        <f t="shared" si="20"/>
        <v>5305164.7697298443</v>
      </c>
      <c r="AR44" s="27">
        <f t="shared" si="21"/>
        <v>7.539822368615505E-2</v>
      </c>
      <c r="AS44" s="29">
        <f t="shared" si="22"/>
        <v>0</v>
      </c>
      <c r="AT44" s="29">
        <f t="shared" si="23"/>
        <v>5305164.6943316208</v>
      </c>
      <c r="AV44" s="26">
        <f t="shared" si="24"/>
        <v>53051647.697298445</v>
      </c>
      <c r="AW44" s="27">
        <f t="shared" si="25"/>
        <v>1.8849555921538762E-2</v>
      </c>
      <c r="AX44" s="29">
        <f t="shared" si="26"/>
        <v>0</v>
      </c>
      <c r="AY44" s="29">
        <f t="shared" si="27"/>
        <v>53051647.678448886</v>
      </c>
    </row>
    <row r="45" spans="2:51" ht="15.6" x14ac:dyDescent="0.35">
      <c r="B45" s="2" t="s">
        <v>229</v>
      </c>
      <c r="C45" s="43">
        <f>C44*C41</f>
        <v>0.01</v>
      </c>
      <c r="D45" s="10" t="s">
        <v>8</v>
      </c>
      <c r="Q45" s="22">
        <v>40000</v>
      </c>
      <c r="R45" s="26">
        <f t="shared" si="12"/>
        <v>39.788735772973844</v>
      </c>
      <c r="S45" s="27">
        <f t="shared" si="13"/>
        <v>1.2566370614359172</v>
      </c>
      <c r="T45" s="28">
        <f t="shared" si="14"/>
        <v>0</v>
      </c>
      <c r="U45" s="29">
        <f t="shared" si="15"/>
        <v>38.532098711537927</v>
      </c>
      <c r="V45" s="11"/>
      <c r="W45" s="26">
        <f t="shared" si="28"/>
        <v>397.88735772973837</v>
      </c>
      <c r="X45" s="27">
        <f t="shared" si="29"/>
        <v>0.32672563597333848</v>
      </c>
      <c r="Y45" s="29">
        <f t="shared" si="30"/>
        <v>0</v>
      </c>
      <c r="Z45" s="29">
        <f t="shared" si="16"/>
        <v>397.56063209376504</v>
      </c>
      <c r="AB45" s="26">
        <f t="shared" si="31"/>
        <v>3978.8735772973832</v>
      </c>
      <c r="AC45" s="27">
        <f t="shared" si="32"/>
        <v>0.22619467105846514</v>
      </c>
      <c r="AD45" s="29">
        <f t="shared" si="33"/>
        <v>0</v>
      </c>
      <c r="AE45" s="29">
        <f t="shared" si="17"/>
        <v>3978.6473826263245</v>
      </c>
      <c r="AG45" s="26">
        <f t="shared" si="34"/>
        <v>39788.735772973836</v>
      </c>
      <c r="AH45" s="27">
        <f t="shared" si="35"/>
        <v>0.17592918860102841</v>
      </c>
      <c r="AI45" s="29">
        <f t="shared" si="36"/>
        <v>0</v>
      </c>
      <c r="AJ45" s="29">
        <f t="shared" si="18"/>
        <v>39788.559843785231</v>
      </c>
      <c r="AL45" s="26">
        <f t="shared" si="37"/>
        <v>397887.35772973835</v>
      </c>
      <c r="AM45" s="27">
        <f t="shared" si="38"/>
        <v>0.15079644737231007</v>
      </c>
      <c r="AN45" s="29">
        <f t="shared" si="39"/>
        <v>0</v>
      </c>
      <c r="AO45" s="29">
        <f t="shared" si="19"/>
        <v>397887.20693329099</v>
      </c>
      <c r="AQ45" s="26">
        <f t="shared" si="20"/>
        <v>3978873.5772973839</v>
      </c>
      <c r="AR45" s="27">
        <f t="shared" si="21"/>
        <v>0.1005309649148734</v>
      </c>
      <c r="AS45" s="29">
        <f t="shared" si="22"/>
        <v>0</v>
      </c>
      <c r="AT45" s="29">
        <f t="shared" si="23"/>
        <v>3978873.4767664191</v>
      </c>
      <c r="AV45" s="26">
        <f t="shared" si="24"/>
        <v>39788735.772973835</v>
      </c>
      <c r="AW45" s="27">
        <f t="shared" si="25"/>
        <v>2.513274122871835E-2</v>
      </c>
      <c r="AX45" s="29">
        <f t="shared" si="26"/>
        <v>0</v>
      </c>
      <c r="AY45" s="29">
        <f t="shared" si="27"/>
        <v>39788735.747841097</v>
      </c>
    </row>
    <row r="46" spans="2:51" x14ac:dyDescent="0.3">
      <c r="B46" s="2" t="s">
        <v>230</v>
      </c>
      <c r="C46" s="43">
        <f>C42/C44</f>
        <v>0</v>
      </c>
      <c r="D46" s="4" t="s">
        <v>21</v>
      </c>
      <c r="Q46" s="22">
        <v>50000</v>
      </c>
      <c r="R46" s="26">
        <f t="shared" si="12"/>
        <v>31.83098861837907</v>
      </c>
      <c r="S46" s="27">
        <f t="shared" si="13"/>
        <v>1.5707963267948963</v>
      </c>
      <c r="T46" s="28">
        <f t="shared" si="14"/>
        <v>0</v>
      </c>
      <c r="U46" s="29">
        <f t="shared" si="15"/>
        <v>30.260192291584175</v>
      </c>
      <c r="V46" s="11"/>
      <c r="W46" s="26">
        <f t="shared" si="28"/>
        <v>318.30988618379075</v>
      </c>
      <c r="X46" s="27">
        <f t="shared" si="29"/>
        <v>0.40840704496667307</v>
      </c>
      <c r="Y46" s="29">
        <f t="shared" si="30"/>
        <v>0</v>
      </c>
      <c r="Z46" s="29">
        <f t="shared" si="16"/>
        <v>317.90147913882407</v>
      </c>
      <c r="AB46" s="26">
        <f t="shared" si="31"/>
        <v>3183.0988618379074</v>
      </c>
      <c r="AC46" s="27">
        <f t="shared" si="32"/>
        <v>0.28274333882308139</v>
      </c>
      <c r="AD46" s="29">
        <f t="shared" si="33"/>
        <v>0</v>
      </c>
      <c r="AE46" s="29">
        <f t="shared" si="17"/>
        <v>3182.8161184990845</v>
      </c>
      <c r="AG46" s="26">
        <f t="shared" si="34"/>
        <v>31830.988618379066</v>
      </c>
      <c r="AH46" s="27">
        <f t="shared" si="35"/>
        <v>0.2199114857512855</v>
      </c>
      <c r="AI46" s="29">
        <f t="shared" si="36"/>
        <v>0</v>
      </c>
      <c r="AJ46" s="29">
        <f t="shared" si="18"/>
        <v>31830.768706893316</v>
      </c>
      <c r="AL46" s="26">
        <f t="shared" si="37"/>
        <v>318309.88618379069</v>
      </c>
      <c r="AM46" s="27">
        <f t="shared" si="38"/>
        <v>0.18849555921538758</v>
      </c>
      <c r="AN46" s="29">
        <f t="shared" si="39"/>
        <v>0</v>
      </c>
      <c r="AO46" s="29">
        <f t="shared" si="19"/>
        <v>318309.69768823148</v>
      </c>
      <c r="AQ46" s="26">
        <f t="shared" si="20"/>
        <v>3183098.8618379072</v>
      </c>
      <c r="AR46" s="27">
        <f t="shared" si="21"/>
        <v>0.12566370614359174</v>
      </c>
      <c r="AS46" s="29">
        <f t="shared" si="22"/>
        <v>0</v>
      </c>
      <c r="AT46" s="29">
        <f t="shared" si="23"/>
        <v>3183098.7361742011</v>
      </c>
      <c r="AV46" s="26">
        <f t="shared" si="24"/>
        <v>31830988.618379071</v>
      </c>
      <c r="AW46" s="27">
        <f t="shared" si="25"/>
        <v>3.1415926535897934E-2</v>
      </c>
      <c r="AX46" s="29">
        <f t="shared" si="26"/>
        <v>0</v>
      </c>
      <c r="AY46" s="29">
        <f t="shared" si="27"/>
        <v>31830988.586963143</v>
      </c>
    </row>
    <row r="47" spans="2:51" x14ac:dyDescent="0.3">
      <c r="B47" s="2" t="s">
        <v>231</v>
      </c>
      <c r="C47" s="43">
        <f>C43/C44</f>
        <v>0.6</v>
      </c>
      <c r="D47" s="4" t="s">
        <v>5</v>
      </c>
      <c r="Q47" s="22">
        <v>60000</v>
      </c>
      <c r="R47" s="26">
        <f t="shared" si="12"/>
        <v>26.525823848649225</v>
      </c>
      <c r="S47" s="27">
        <f t="shared" si="13"/>
        <v>1.8849555921538759</v>
      </c>
      <c r="T47" s="28">
        <f t="shared" si="14"/>
        <v>0</v>
      </c>
      <c r="U47" s="29">
        <f t="shared" si="15"/>
        <v>24.640868256495349</v>
      </c>
      <c r="V47" s="11"/>
      <c r="W47" s="26">
        <f t="shared" si="28"/>
        <v>265.25823848649225</v>
      </c>
      <c r="X47" s="27">
        <f t="shared" si="29"/>
        <v>0.49008845396000777</v>
      </c>
      <c r="Y47" s="29">
        <f t="shared" si="30"/>
        <v>0</v>
      </c>
      <c r="Z47" s="29">
        <f t="shared" si="16"/>
        <v>264.76815003253222</v>
      </c>
      <c r="AB47" s="26">
        <f t="shared" si="31"/>
        <v>2652.5823848649225</v>
      </c>
      <c r="AC47" s="27">
        <f t="shared" si="32"/>
        <v>0.3392920065876977</v>
      </c>
      <c r="AD47" s="29">
        <f t="shared" si="33"/>
        <v>0</v>
      </c>
      <c r="AE47" s="29">
        <f t="shared" si="17"/>
        <v>2652.2430928583349</v>
      </c>
      <c r="AG47" s="26">
        <f t="shared" si="34"/>
        <v>26525.823848649223</v>
      </c>
      <c r="AH47" s="27">
        <f t="shared" si="35"/>
        <v>0.26389378290154258</v>
      </c>
      <c r="AI47" s="29">
        <f t="shared" si="36"/>
        <v>0</v>
      </c>
      <c r="AJ47" s="29">
        <f t="shared" si="18"/>
        <v>26525.559954866319</v>
      </c>
      <c r="AL47" s="26">
        <f t="shared" si="37"/>
        <v>265258.23848649225</v>
      </c>
      <c r="AM47" s="27">
        <f t="shared" si="38"/>
        <v>0.22619467105846511</v>
      </c>
      <c r="AN47" s="29">
        <f t="shared" si="39"/>
        <v>0</v>
      </c>
      <c r="AO47" s="29">
        <f t="shared" si="19"/>
        <v>265258.01229182119</v>
      </c>
      <c r="AQ47" s="26">
        <f t="shared" si="20"/>
        <v>2652582.3848649221</v>
      </c>
      <c r="AR47" s="27">
        <f t="shared" si="21"/>
        <v>0.1507964473723101</v>
      </c>
      <c r="AS47" s="29">
        <f t="shared" si="22"/>
        <v>0</v>
      </c>
      <c r="AT47" s="29">
        <f t="shared" si="23"/>
        <v>2652582.2340684747</v>
      </c>
      <c r="AV47" s="26">
        <f t="shared" si="24"/>
        <v>26525823.848649222</v>
      </c>
      <c r="AW47" s="27">
        <f t="shared" si="25"/>
        <v>3.7699111843077525E-2</v>
      </c>
      <c r="AX47" s="29">
        <f t="shared" si="26"/>
        <v>0</v>
      </c>
      <c r="AY47" s="29">
        <f t="shared" si="27"/>
        <v>26525823.810950112</v>
      </c>
    </row>
    <row r="48" spans="2:51" x14ac:dyDescent="0.3">
      <c r="B48" s="2" t="s">
        <v>232</v>
      </c>
      <c r="C48" s="47">
        <f>(1/(2*PI()*(SQRT(C41*0.000001*C43*0.000000001))))*0.000001</f>
        <v>64.974733436139672</v>
      </c>
      <c r="D48" s="4" t="s">
        <v>87</v>
      </c>
      <c r="Q48" s="22">
        <v>70000</v>
      </c>
      <c r="R48" s="26">
        <f t="shared" si="12"/>
        <v>22.736420441699334</v>
      </c>
      <c r="S48" s="27">
        <f t="shared" si="13"/>
        <v>2.1991148575128552</v>
      </c>
      <c r="T48" s="28">
        <f t="shared" si="14"/>
        <v>0</v>
      </c>
      <c r="U48" s="29">
        <f t="shared" si="15"/>
        <v>20.537305584186477</v>
      </c>
      <c r="V48" s="11"/>
      <c r="W48" s="26">
        <f t="shared" si="28"/>
        <v>227.3642044169934</v>
      </c>
      <c r="X48" s="27">
        <f t="shared" si="29"/>
        <v>0.57176986295334231</v>
      </c>
      <c r="Y48" s="29">
        <f t="shared" si="30"/>
        <v>0</v>
      </c>
      <c r="Z48" s="29">
        <f t="shared" si="16"/>
        <v>226.79243455404006</v>
      </c>
      <c r="AB48" s="26">
        <f t="shared" si="31"/>
        <v>2273.6420441699338</v>
      </c>
      <c r="AC48" s="27">
        <f t="shared" si="32"/>
        <v>0.39584067435231396</v>
      </c>
      <c r="AD48" s="29">
        <f t="shared" si="33"/>
        <v>0</v>
      </c>
      <c r="AE48" s="29">
        <f t="shared" si="17"/>
        <v>2273.2462034955815</v>
      </c>
      <c r="AG48" s="26">
        <f t="shared" si="34"/>
        <v>22736.420441699334</v>
      </c>
      <c r="AH48" s="27">
        <f t="shared" si="35"/>
        <v>0.30787608005179973</v>
      </c>
      <c r="AI48" s="29">
        <f t="shared" si="36"/>
        <v>0</v>
      </c>
      <c r="AJ48" s="29">
        <f t="shared" si="18"/>
        <v>22736.112565619282</v>
      </c>
      <c r="AL48" s="26">
        <f t="shared" si="37"/>
        <v>227364.20441699339</v>
      </c>
      <c r="AM48" s="27">
        <f t="shared" si="38"/>
        <v>0.26389378290154258</v>
      </c>
      <c r="AN48" s="29">
        <f t="shared" si="39"/>
        <v>0</v>
      </c>
      <c r="AO48" s="29">
        <f t="shared" si="19"/>
        <v>227363.94052321051</v>
      </c>
      <c r="AQ48" s="26">
        <f t="shared" si="20"/>
        <v>2273642.0441699335</v>
      </c>
      <c r="AR48" s="27">
        <f t="shared" si="21"/>
        <v>0.17592918860102844</v>
      </c>
      <c r="AS48" s="29">
        <f t="shared" si="22"/>
        <v>0</v>
      </c>
      <c r="AT48" s="29">
        <f t="shared" si="23"/>
        <v>2273641.8682407448</v>
      </c>
      <c r="AV48" s="26">
        <f t="shared" si="24"/>
        <v>22736420.441699333</v>
      </c>
      <c r="AW48" s="27">
        <f t="shared" si="25"/>
        <v>4.3982297150257109E-2</v>
      </c>
      <c r="AX48" s="29">
        <f t="shared" si="26"/>
        <v>0</v>
      </c>
      <c r="AY48" s="29">
        <f t="shared" si="27"/>
        <v>22736420.397717036</v>
      </c>
    </row>
    <row r="49" spans="2:51" x14ac:dyDescent="0.3">
      <c r="Q49" s="22">
        <v>80000</v>
      </c>
      <c r="R49" s="26">
        <f t="shared" si="12"/>
        <v>19.894367886486922</v>
      </c>
      <c r="S49" s="27">
        <f t="shared" si="13"/>
        <v>2.5132741228718345</v>
      </c>
      <c r="T49" s="28">
        <f t="shared" si="14"/>
        <v>0</v>
      </c>
      <c r="U49" s="29">
        <f t="shared" si="15"/>
        <v>17.381093763615088</v>
      </c>
      <c r="V49" s="11"/>
      <c r="W49" s="26">
        <f t="shared" si="28"/>
        <v>198.94367886486918</v>
      </c>
      <c r="X49" s="27">
        <f t="shared" si="29"/>
        <v>0.65345127194667696</v>
      </c>
      <c r="Y49" s="29">
        <f t="shared" si="30"/>
        <v>0</v>
      </c>
      <c r="Z49" s="29">
        <f t="shared" si="16"/>
        <v>198.29022759292252</v>
      </c>
      <c r="AB49" s="26">
        <f t="shared" si="31"/>
        <v>1989.4367886486916</v>
      </c>
      <c r="AC49" s="27">
        <f t="shared" si="32"/>
        <v>0.45238934211693027</v>
      </c>
      <c r="AD49" s="29">
        <f t="shared" si="33"/>
        <v>0</v>
      </c>
      <c r="AE49" s="29">
        <f t="shared" si="17"/>
        <v>1988.9843993065747</v>
      </c>
      <c r="AG49" s="26">
        <f t="shared" si="34"/>
        <v>19894.367886486918</v>
      </c>
      <c r="AH49" s="27">
        <f t="shared" si="35"/>
        <v>0.35185837720205682</v>
      </c>
      <c r="AI49" s="29">
        <f t="shared" si="36"/>
        <v>0</v>
      </c>
      <c r="AJ49" s="29">
        <f t="shared" si="18"/>
        <v>19894.016028109716</v>
      </c>
      <c r="AL49" s="26">
        <f t="shared" si="37"/>
        <v>198943.67886486917</v>
      </c>
      <c r="AM49" s="27">
        <f t="shared" si="38"/>
        <v>0.30159289474462014</v>
      </c>
      <c r="AN49" s="29">
        <f t="shared" si="39"/>
        <v>0</v>
      </c>
      <c r="AO49" s="29">
        <f t="shared" si="19"/>
        <v>198943.37727197443</v>
      </c>
      <c r="AQ49" s="26">
        <f t="shared" si="20"/>
        <v>1989436.788648692</v>
      </c>
      <c r="AR49" s="27">
        <f t="shared" si="21"/>
        <v>0.2010619298297468</v>
      </c>
      <c r="AS49" s="29">
        <f t="shared" si="22"/>
        <v>0</v>
      </c>
      <c r="AT49" s="29">
        <f t="shared" si="23"/>
        <v>1989436.5875867622</v>
      </c>
      <c r="AV49" s="26">
        <f t="shared" si="24"/>
        <v>19894367.886486918</v>
      </c>
      <c r="AW49" s="27">
        <f t="shared" si="25"/>
        <v>5.02654824574367E-2</v>
      </c>
      <c r="AX49" s="29">
        <f t="shared" si="26"/>
        <v>0</v>
      </c>
      <c r="AY49" s="29">
        <f t="shared" si="27"/>
        <v>19894367.836221434</v>
      </c>
    </row>
    <row r="50" spans="2:51" ht="15.6" x14ac:dyDescent="0.35">
      <c r="B50" s="2" t="s">
        <v>233</v>
      </c>
      <c r="C50" s="55">
        <v>1E-3</v>
      </c>
      <c r="D50" s="10" t="s">
        <v>8</v>
      </c>
      <c r="Q50" s="22">
        <v>90000</v>
      </c>
      <c r="R50" s="26">
        <f t="shared" si="12"/>
        <v>17.683882565766147</v>
      </c>
      <c r="S50" s="27">
        <f t="shared" si="13"/>
        <v>2.8274333882308142</v>
      </c>
      <c r="T50" s="28">
        <f t="shared" si="14"/>
        <v>0</v>
      </c>
      <c r="U50" s="29">
        <f t="shared" si="15"/>
        <v>14.856449177535334</v>
      </c>
      <c r="V50" s="11"/>
      <c r="W50" s="26">
        <f t="shared" si="28"/>
        <v>176.83882565766149</v>
      </c>
      <c r="X50" s="27">
        <f t="shared" si="29"/>
        <v>0.73513268094001172</v>
      </c>
      <c r="Y50" s="29">
        <f t="shared" si="30"/>
        <v>0</v>
      </c>
      <c r="Z50" s="29">
        <f t="shared" si="16"/>
        <v>176.10369297672148</v>
      </c>
      <c r="AB50" s="26">
        <f t="shared" si="31"/>
        <v>1768.3882565766148</v>
      </c>
      <c r="AC50" s="27">
        <f t="shared" si="32"/>
        <v>0.50893800988154658</v>
      </c>
      <c r="AD50" s="29">
        <f t="shared" si="33"/>
        <v>0</v>
      </c>
      <c r="AE50" s="29">
        <f t="shared" si="17"/>
        <v>1767.8793185667332</v>
      </c>
      <c r="AG50" s="26">
        <f t="shared" si="34"/>
        <v>17683.882565766147</v>
      </c>
      <c r="AH50" s="27">
        <f t="shared" si="35"/>
        <v>0.39584067435231396</v>
      </c>
      <c r="AI50" s="29">
        <f t="shared" si="36"/>
        <v>0</v>
      </c>
      <c r="AJ50" s="29">
        <f t="shared" si="18"/>
        <v>17683.486725091796</v>
      </c>
      <c r="AL50" s="26">
        <f t="shared" si="37"/>
        <v>176838.82565766148</v>
      </c>
      <c r="AM50" s="27">
        <f t="shared" si="38"/>
        <v>0.33929200658769765</v>
      </c>
      <c r="AN50" s="29">
        <f t="shared" si="39"/>
        <v>0</v>
      </c>
      <c r="AO50" s="29">
        <f t="shared" si="19"/>
        <v>176838.48636565488</v>
      </c>
      <c r="AP50" s="11"/>
      <c r="AQ50" s="26">
        <f t="shared" si="20"/>
        <v>1768388.2565766149</v>
      </c>
      <c r="AR50" s="27">
        <f t="shared" si="21"/>
        <v>0.22619467105846516</v>
      </c>
      <c r="AS50" s="29">
        <f t="shared" si="22"/>
        <v>0</v>
      </c>
      <c r="AT50" s="29">
        <f t="shared" si="23"/>
        <v>1768388.0303819438</v>
      </c>
      <c r="AV50" s="26">
        <f t="shared" si="24"/>
        <v>17683882.565766148</v>
      </c>
      <c r="AW50" s="27">
        <f t="shared" si="25"/>
        <v>5.6548667764616291E-2</v>
      </c>
      <c r="AX50" s="29">
        <f t="shared" si="26"/>
        <v>0</v>
      </c>
      <c r="AY50" s="29">
        <f t="shared" si="27"/>
        <v>17683882.509217482</v>
      </c>
    </row>
    <row r="51" spans="2:51" x14ac:dyDescent="0.3">
      <c r="B51" s="2" t="s">
        <v>234</v>
      </c>
      <c r="C51" s="55">
        <v>0</v>
      </c>
      <c r="D51" s="4" t="s">
        <v>21</v>
      </c>
      <c r="Q51" s="22">
        <v>100000</v>
      </c>
      <c r="R51" s="26">
        <f t="shared" si="12"/>
        <v>15.915494309189535</v>
      </c>
      <c r="S51" s="27">
        <f t="shared" si="13"/>
        <v>3.1415926535897927</v>
      </c>
      <c r="T51" s="28">
        <f t="shared" si="14"/>
        <v>0</v>
      </c>
      <c r="U51" s="29">
        <f t="shared" si="15"/>
        <v>12.773901655599742</v>
      </c>
      <c r="V51" s="11"/>
      <c r="W51" s="26">
        <f t="shared" si="28"/>
        <v>159.15494309189538</v>
      </c>
      <c r="X51" s="27">
        <f t="shared" si="29"/>
        <v>0.81681408993334614</v>
      </c>
      <c r="Y51" s="29">
        <f t="shared" si="30"/>
        <v>0</v>
      </c>
      <c r="Z51" s="29">
        <f t="shared" si="16"/>
        <v>158.33812900196202</v>
      </c>
      <c r="AB51" s="26">
        <f t="shared" si="31"/>
        <v>1591.5494309189537</v>
      </c>
      <c r="AC51" s="27">
        <f t="shared" si="32"/>
        <v>0.56548667764616278</v>
      </c>
      <c r="AD51" s="29">
        <f t="shared" si="33"/>
        <v>0</v>
      </c>
      <c r="AE51" s="29">
        <f t="shared" si="17"/>
        <v>1590.9839442413077</v>
      </c>
      <c r="AG51" s="26">
        <f t="shared" si="34"/>
        <v>15915.494309189533</v>
      </c>
      <c r="AH51" s="27">
        <f t="shared" si="35"/>
        <v>0.43982297150257099</v>
      </c>
      <c r="AI51" s="29">
        <f t="shared" si="36"/>
        <v>0</v>
      </c>
      <c r="AJ51" s="29">
        <f t="shared" si="18"/>
        <v>15915.05448621803</v>
      </c>
      <c r="AL51" s="26">
        <f t="shared" si="37"/>
        <v>159154.94309189534</v>
      </c>
      <c r="AM51" s="27">
        <f t="shared" si="38"/>
        <v>0.37699111843077515</v>
      </c>
      <c r="AN51" s="29">
        <f t="shared" si="39"/>
        <v>0</v>
      </c>
      <c r="AO51" s="29">
        <f t="shared" si="19"/>
        <v>159154.56610077692</v>
      </c>
      <c r="AP51" s="11"/>
      <c r="AQ51" s="26">
        <f t="shared" si="20"/>
        <v>1591549.4309189536</v>
      </c>
      <c r="AR51" s="27">
        <f t="shared" si="21"/>
        <v>0.25132741228718347</v>
      </c>
      <c r="AS51" s="29">
        <f t="shared" si="22"/>
        <v>0</v>
      </c>
      <c r="AT51" s="29">
        <f t="shared" si="23"/>
        <v>1591549.1795915414</v>
      </c>
      <c r="AV51" s="26">
        <f t="shared" si="24"/>
        <v>15915494.309189536</v>
      </c>
      <c r="AW51" s="27">
        <f t="shared" si="25"/>
        <v>6.2831853071795868E-2</v>
      </c>
      <c r="AX51" s="29">
        <f t="shared" si="26"/>
        <v>0</v>
      </c>
      <c r="AY51" s="29">
        <f t="shared" si="27"/>
        <v>15915494.246357683</v>
      </c>
    </row>
    <row r="52" spans="2:51" x14ac:dyDescent="0.3">
      <c r="B52" s="2" t="s">
        <v>235</v>
      </c>
      <c r="C52" s="55">
        <v>0.4</v>
      </c>
      <c r="D52" s="4" t="s">
        <v>5</v>
      </c>
      <c r="Q52" s="22">
        <v>200000</v>
      </c>
      <c r="R52" s="26">
        <f t="shared" si="12"/>
        <v>7.9577471545947676</v>
      </c>
      <c r="S52" s="27">
        <f t="shared" si="13"/>
        <v>6.2831853071795853</v>
      </c>
      <c r="T52" s="28">
        <f t="shared" si="14"/>
        <v>0</v>
      </c>
      <c r="U52" s="29">
        <f t="shared" si="15"/>
        <v>1.6745618474151822</v>
      </c>
      <c r="V52" s="11"/>
      <c r="W52" s="26">
        <f t="shared" si="28"/>
        <v>79.577471545947688</v>
      </c>
      <c r="X52" s="27">
        <f t="shared" si="29"/>
        <v>1.6336281798666923</v>
      </c>
      <c r="Y52" s="29">
        <f t="shared" si="30"/>
        <v>0</v>
      </c>
      <c r="Z52" s="29">
        <f t="shared" si="16"/>
        <v>77.943843366080998</v>
      </c>
      <c r="AB52" s="26">
        <f t="shared" si="31"/>
        <v>795.77471545947685</v>
      </c>
      <c r="AC52" s="27">
        <f t="shared" si="32"/>
        <v>1.1309733552923256</v>
      </c>
      <c r="AD52" s="29">
        <f t="shared" si="33"/>
        <v>0</v>
      </c>
      <c r="AE52" s="29">
        <f t="shared" si="17"/>
        <v>794.64374210418453</v>
      </c>
      <c r="AG52" s="26">
        <f t="shared" si="34"/>
        <v>7957.7471545947665</v>
      </c>
      <c r="AH52" s="27">
        <f t="shared" si="35"/>
        <v>0.87964594300514198</v>
      </c>
      <c r="AI52" s="29">
        <f t="shared" si="36"/>
        <v>0</v>
      </c>
      <c r="AJ52" s="29">
        <f t="shared" si="18"/>
        <v>7956.8675086517615</v>
      </c>
      <c r="AL52" s="26">
        <f t="shared" si="37"/>
        <v>79577.471545947672</v>
      </c>
      <c r="AM52" s="27">
        <f t="shared" si="38"/>
        <v>0.7539822368615503</v>
      </c>
      <c r="AN52" s="29">
        <f t="shared" si="39"/>
        <v>0</v>
      </c>
      <c r="AO52" s="29">
        <f t="shared" si="19"/>
        <v>79576.717563710816</v>
      </c>
      <c r="AP52" s="11"/>
      <c r="AQ52" s="26">
        <f t="shared" si="20"/>
        <v>795774.71545947681</v>
      </c>
      <c r="AR52" s="27">
        <f t="shared" si="21"/>
        <v>0.50265482457436694</v>
      </c>
      <c r="AS52" s="29">
        <f t="shared" si="22"/>
        <v>0</v>
      </c>
      <c r="AT52" s="29">
        <f t="shared" si="23"/>
        <v>795774.21280465228</v>
      </c>
      <c r="AV52" s="26">
        <f t="shared" si="24"/>
        <v>7957747.1545947678</v>
      </c>
      <c r="AW52" s="27">
        <f t="shared" si="25"/>
        <v>0.12566370614359174</v>
      </c>
      <c r="AX52" s="29">
        <f t="shared" si="26"/>
        <v>0</v>
      </c>
      <c r="AY52" s="29">
        <f t="shared" si="27"/>
        <v>7957747.0289310617</v>
      </c>
    </row>
    <row r="53" spans="2:51" x14ac:dyDescent="0.3">
      <c r="B53" s="2" t="s">
        <v>193</v>
      </c>
      <c r="C53" s="55">
        <v>1</v>
      </c>
      <c r="D53" s="4"/>
      <c r="Q53" s="22">
        <v>300000</v>
      </c>
      <c r="R53" s="26">
        <f t="shared" si="12"/>
        <v>5.3051647697298447</v>
      </c>
      <c r="S53" s="27">
        <f t="shared" si="13"/>
        <v>9.4247779607693793</v>
      </c>
      <c r="T53" s="28">
        <f t="shared" si="14"/>
        <v>0</v>
      </c>
      <c r="U53" s="29">
        <f t="shared" si="15"/>
        <v>4.1196131910395346</v>
      </c>
      <c r="V53" s="11"/>
      <c r="W53" s="26">
        <f t="shared" si="28"/>
        <v>53.051647697298449</v>
      </c>
      <c r="X53" s="27">
        <f t="shared" si="29"/>
        <v>2.450442269800039</v>
      </c>
      <c r="Y53" s="29">
        <f t="shared" si="30"/>
        <v>0</v>
      </c>
      <c r="Z53" s="29">
        <f t="shared" si="16"/>
        <v>50.601205427498414</v>
      </c>
      <c r="AB53" s="26">
        <f t="shared" si="31"/>
        <v>530.51647697298449</v>
      </c>
      <c r="AC53" s="27">
        <f t="shared" si="32"/>
        <v>1.6964600329384885</v>
      </c>
      <c r="AD53" s="29">
        <f t="shared" si="33"/>
        <v>0</v>
      </c>
      <c r="AE53" s="29">
        <f t="shared" si="17"/>
        <v>528.820016940046</v>
      </c>
      <c r="AG53" s="26">
        <f t="shared" si="34"/>
        <v>5305.1647697298449</v>
      </c>
      <c r="AH53" s="27">
        <f t="shared" si="35"/>
        <v>1.3194689145077132</v>
      </c>
      <c r="AI53" s="29">
        <f t="shared" si="36"/>
        <v>0</v>
      </c>
      <c r="AJ53" s="29">
        <f t="shared" si="18"/>
        <v>5303.8453008153374</v>
      </c>
      <c r="AL53" s="26">
        <f t="shared" si="37"/>
        <v>53051.647697298446</v>
      </c>
      <c r="AM53" s="27">
        <f t="shared" si="38"/>
        <v>1.1309733552923256</v>
      </c>
      <c r="AN53" s="29">
        <f t="shared" si="39"/>
        <v>0</v>
      </c>
      <c r="AO53" s="29">
        <f t="shared" si="19"/>
        <v>53050.516723943154</v>
      </c>
      <c r="AP53" s="11"/>
      <c r="AQ53" s="26">
        <f t="shared" si="20"/>
        <v>530516.4769729845</v>
      </c>
      <c r="AR53" s="27">
        <f t="shared" si="21"/>
        <v>0.75398223686155053</v>
      </c>
      <c r="AS53" s="29">
        <f t="shared" si="22"/>
        <v>0</v>
      </c>
      <c r="AT53" s="29">
        <f t="shared" si="23"/>
        <v>530515.72299074766</v>
      </c>
      <c r="AV53" s="26">
        <f t="shared" si="24"/>
        <v>5305164.7697298443</v>
      </c>
      <c r="AW53" s="27">
        <f t="shared" si="25"/>
        <v>0.18849555921538763</v>
      </c>
      <c r="AX53" s="29">
        <f t="shared" si="26"/>
        <v>0</v>
      </c>
      <c r="AY53" s="29">
        <f t="shared" si="27"/>
        <v>5305164.5812342847</v>
      </c>
    </row>
    <row r="54" spans="2:51" ht="15.6" x14ac:dyDescent="0.35">
      <c r="B54" s="2" t="s">
        <v>236</v>
      </c>
      <c r="C54" s="43">
        <f>C53*C50</f>
        <v>1E-3</v>
      </c>
      <c r="D54" s="10" t="s">
        <v>8</v>
      </c>
      <c r="Q54" s="22">
        <v>400000</v>
      </c>
      <c r="R54" s="26">
        <f t="shared" si="12"/>
        <v>3.9788735772973838</v>
      </c>
      <c r="S54" s="27">
        <f t="shared" si="13"/>
        <v>12.566370614359171</v>
      </c>
      <c r="T54" s="28">
        <f t="shared" si="14"/>
        <v>0</v>
      </c>
      <c r="U54" s="29">
        <f t="shared" si="15"/>
        <v>8.5874970370617874</v>
      </c>
      <c r="V54" s="11"/>
      <c r="W54" s="26">
        <f t="shared" si="28"/>
        <v>39.788735772973844</v>
      </c>
      <c r="X54" s="27">
        <f t="shared" si="29"/>
        <v>3.2672563597333846</v>
      </c>
      <c r="Y54" s="29">
        <f t="shared" si="30"/>
        <v>0</v>
      </c>
      <c r="Z54" s="29">
        <f t="shared" si="16"/>
        <v>36.521479413240456</v>
      </c>
      <c r="AB54" s="26">
        <f t="shared" si="31"/>
        <v>397.88735772973843</v>
      </c>
      <c r="AC54" s="27">
        <f t="shared" si="32"/>
        <v>2.2619467105846511</v>
      </c>
      <c r="AD54" s="29">
        <f t="shared" si="33"/>
        <v>0</v>
      </c>
      <c r="AE54" s="29">
        <f t="shared" si="17"/>
        <v>395.62541101915377</v>
      </c>
      <c r="AG54" s="26">
        <f t="shared" si="34"/>
        <v>3978.8735772973832</v>
      </c>
      <c r="AH54" s="27">
        <f t="shared" si="35"/>
        <v>1.759291886010284</v>
      </c>
      <c r="AI54" s="29">
        <f t="shared" si="36"/>
        <v>0</v>
      </c>
      <c r="AJ54" s="29">
        <f t="shared" si="18"/>
        <v>3977.1142854113727</v>
      </c>
      <c r="AL54" s="26">
        <f t="shared" si="37"/>
        <v>39788.735772973836</v>
      </c>
      <c r="AM54" s="27">
        <f t="shared" si="38"/>
        <v>1.5079644737231006</v>
      </c>
      <c r="AN54" s="29">
        <f t="shared" si="39"/>
        <v>0</v>
      </c>
      <c r="AO54" s="29">
        <f t="shared" si="19"/>
        <v>39787.227808500116</v>
      </c>
      <c r="AQ54" s="26">
        <f t="shared" si="20"/>
        <v>397887.3577297384</v>
      </c>
      <c r="AR54" s="27">
        <f t="shared" si="21"/>
        <v>1.0053096491487339</v>
      </c>
      <c r="AS54" s="29">
        <f t="shared" si="22"/>
        <v>0</v>
      </c>
      <c r="AT54" s="29">
        <f t="shared" si="23"/>
        <v>397886.35242008924</v>
      </c>
      <c r="AV54" s="26">
        <f t="shared" si="24"/>
        <v>3978873.5772973839</v>
      </c>
      <c r="AW54" s="27">
        <f t="shared" si="25"/>
        <v>0.25132741228718347</v>
      </c>
      <c r="AX54" s="29">
        <f t="shared" si="26"/>
        <v>0</v>
      </c>
      <c r="AY54" s="29">
        <f t="shared" si="27"/>
        <v>3978873.3259699717</v>
      </c>
    </row>
    <row r="55" spans="2:51" x14ac:dyDescent="0.3">
      <c r="B55" s="2" t="s">
        <v>237</v>
      </c>
      <c r="C55" s="43">
        <f>C51/C53</f>
        <v>0</v>
      </c>
      <c r="D55" s="4" t="s">
        <v>21</v>
      </c>
      <c r="Q55" s="22">
        <v>500000</v>
      </c>
      <c r="R55" s="26">
        <f t="shared" si="12"/>
        <v>3.1830988618379075</v>
      </c>
      <c r="S55" s="27">
        <f t="shared" si="13"/>
        <v>15.707963267948967</v>
      </c>
      <c r="T55" s="28">
        <f t="shared" si="14"/>
        <v>0</v>
      </c>
      <c r="U55" s="29">
        <f t="shared" si="15"/>
        <v>12.52486440611106</v>
      </c>
      <c r="V55" s="11"/>
      <c r="W55" s="26">
        <f t="shared" si="28"/>
        <v>31.83098861837907</v>
      </c>
      <c r="X55" s="27">
        <f t="shared" si="29"/>
        <v>4.0840704496667311</v>
      </c>
      <c r="Y55" s="29">
        <f t="shared" si="30"/>
        <v>0</v>
      </c>
      <c r="Z55" s="29">
        <f t="shared" si="16"/>
        <v>27.746918168712341</v>
      </c>
      <c r="AB55" s="26">
        <f t="shared" si="31"/>
        <v>318.30988618379075</v>
      </c>
      <c r="AC55" s="27">
        <f t="shared" si="32"/>
        <v>2.8274333882308142</v>
      </c>
      <c r="AD55" s="29">
        <f t="shared" si="33"/>
        <v>0</v>
      </c>
      <c r="AE55" s="29">
        <f t="shared" si="17"/>
        <v>315.48245279555994</v>
      </c>
      <c r="AG55" s="26">
        <f t="shared" si="34"/>
        <v>3183.0988618379074</v>
      </c>
      <c r="AH55" s="27">
        <f t="shared" si="35"/>
        <v>2.1991148575128547</v>
      </c>
      <c r="AI55" s="29">
        <f t="shared" si="36"/>
        <v>0</v>
      </c>
      <c r="AJ55" s="29">
        <f t="shared" si="18"/>
        <v>3180.8997469803944</v>
      </c>
      <c r="AL55" s="26">
        <f t="shared" si="37"/>
        <v>31830.988618379066</v>
      </c>
      <c r="AM55" s="27">
        <f t="shared" si="38"/>
        <v>1.8849555921538759</v>
      </c>
      <c r="AN55" s="29">
        <f t="shared" si="39"/>
        <v>0</v>
      </c>
      <c r="AO55" s="29">
        <f t="shared" si="19"/>
        <v>31829.103662786911</v>
      </c>
      <c r="AQ55" s="26">
        <f t="shared" si="20"/>
        <v>318309.88618379069</v>
      </c>
      <c r="AR55" s="27">
        <f t="shared" si="21"/>
        <v>1.2566370614359175</v>
      </c>
      <c r="AS55" s="29">
        <f t="shared" si="22"/>
        <v>0</v>
      </c>
      <c r="AT55" s="29">
        <f t="shared" si="23"/>
        <v>318308.62954672927</v>
      </c>
      <c r="AV55" s="26">
        <f t="shared" si="24"/>
        <v>3183098.8618379068</v>
      </c>
      <c r="AW55" s="27">
        <f t="shared" si="25"/>
        <v>0.31415926535897937</v>
      </c>
      <c r="AX55" s="29">
        <f t="shared" si="26"/>
        <v>0</v>
      </c>
      <c r="AY55" s="29">
        <f t="shared" si="27"/>
        <v>3183098.5476786415</v>
      </c>
    </row>
    <row r="56" spans="2:51" x14ac:dyDescent="0.3">
      <c r="B56" s="2" t="s">
        <v>238</v>
      </c>
      <c r="C56" s="43">
        <f>C52/C53</f>
        <v>0.4</v>
      </c>
      <c r="D56" s="4" t="s">
        <v>5</v>
      </c>
      <c r="Q56" s="22">
        <v>600000</v>
      </c>
      <c r="R56" s="26">
        <f t="shared" si="12"/>
        <v>2.6525823848649224</v>
      </c>
      <c r="S56" s="27">
        <f t="shared" si="13"/>
        <v>18.849555921538759</v>
      </c>
      <c r="T56" s="28">
        <f t="shared" si="14"/>
        <v>0</v>
      </c>
      <c r="U56" s="29">
        <f t="shared" si="15"/>
        <v>16.196973536673838</v>
      </c>
      <c r="V56" s="11"/>
      <c r="W56" s="26">
        <f t="shared" si="28"/>
        <v>26.525823848649225</v>
      </c>
      <c r="X56" s="27">
        <f t="shared" si="29"/>
        <v>4.900884539600078</v>
      </c>
      <c r="Y56" s="29">
        <f t="shared" si="30"/>
        <v>0</v>
      </c>
      <c r="Z56" s="29">
        <f t="shared" si="16"/>
        <v>21.624939309049147</v>
      </c>
      <c r="AB56" s="26">
        <f t="shared" si="31"/>
        <v>265.25823848649225</v>
      </c>
      <c r="AC56" s="27">
        <f t="shared" si="32"/>
        <v>3.3929200658769769</v>
      </c>
      <c r="AD56" s="29">
        <f t="shared" si="33"/>
        <v>0</v>
      </c>
      <c r="AE56" s="29">
        <f t="shared" si="17"/>
        <v>261.86531842061527</v>
      </c>
      <c r="AG56" s="26">
        <f t="shared" si="34"/>
        <v>2652.5823848649225</v>
      </c>
      <c r="AH56" s="27">
        <f t="shared" si="35"/>
        <v>2.6389378290154264</v>
      </c>
      <c r="AI56" s="29">
        <f t="shared" si="36"/>
        <v>0</v>
      </c>
      <c r="AJ56" s="29">
        <f t="shared" si="18"/>
        <v>2649.943447035907</v>
      </c>
      <c r="AL56" s="26">
        <f t="shared" si="37"/>
        <v>26525.823848649223</v>
      </c>
      <c r="AM56" s="27">
        <f t="shared" si="38"/>
        <v>2.2619467105846511</v>
      </c>
      <c r="AN56" s="29">
        <f t="shared" si="39"/>
        <v>0</v>
      </c>
      <c r="AO56" s="29">
        <f t="shared" si="19"/>
        <v>26523.561901938639</v>
      </c>
      <c r="AQ56" s="26">
        <f t="shared" si="20"/>
        <v>265258.23848649225</v>
      </c>
      <c r="AR56" s="27">
        <f t="shared" si="21"/>
        <v>1.5079644737231011</v>
      </c>
      <c r="AS56" s="29">
        <f t="shared" si="22"/>
        <v>0</v>
      </c>
      <c r="AT56" s="29">
        <f t="shared" si="23"/>
        <v>265256.73052201851</v>
      </c>
      <c r="AV56" s="26">
        <f t="shared" si="24"/>
        <v>2652582.3848649221</v>
      </c>
      <c r="AW56" s="27">
        <f t="shared" si="25"/>
        <v>0.37699111843077526</v>
      </c>
      <c r="AX56" s="29">
        <f t="shared" si="26"/>
        <v>0</v>
      </c>
      <c r="AY56" s="29">
        <f t="shared" si="27"/>
        <v>2652582.0078738038</v>
      </c>
    </row>
    <row r="57" spans="2:51" x14ac:dyDescent="0.3">
      <c r="B57" s="2" t="s">
        <v>239</v>
      </c>
      <c r="C57" s="47">
        <f>(1/(2*PI()*(SQRT(C50*0.000001*C52*0.000000001))))*0.000001</f>
        <v>251.64606052243514</v>
      </c>
      <c r="D57" s="4" t="s">
        <v>87</v>
      </c>
      <c r="Q57" s="22">
        <v>700000</v>
      </c>
      <c r="R57" s="26">
        <f t="shared" si="12"/>
        <v>2.2736420441699337</v>
      </c>
      <c r="S57" s="27">
        <f t="shared" si="13"/>
        <v>21.991148575128552</v>
      </c>
      <c r="T57" s="28">
        <f t="shared" si="14"/>
        <v>0</v>
      </c>
      <c r="U57" s="29">
        <f t="shared" si="15"/>
        <v>19.717506530958619</v>
      </c>
      <c r="V57" s="11"/>
      <c r="W57" s="26">
        <f t="shared" si="28"/>
        <v>22.736420441699337</v>
      </c>
      <c r="X57" s="27">
        <f t="shared" si="29"/>
        <v>5.7176986295334231</v>
      </c>
      <c r="Y57" s="29">
        <f t="shared" si="30"/>
        <v>0</v>
      </c>
      <c r="Z57" s="29">
        <f t="shared" si="16"/>
        <v>17.018721812165914</v>
      </c>
      <c r="AB57" s="26">
        <f t="shared" si="31"/>
        <v>227.3642044169934</v>
      </c>
      <c r="AC57" s="27">
        <f t="shared" si="32"/>
        <v>3.9584067435231391</v>
      </c>
      <c r="AD57" s="29">
        <f t="shared" si="33"/>
        <v>0</v>
      </c>
      <c r="AE57" s="29">
        <f t="shared" si="17"/>
        <v>223.40579767347026</v>
      </c>
      <c r="AG57" s="26">
        <f t="shared" si="34"/>
        <v>2273.6420441699338</v>
      </c>
      <c r="AH57" s="27">
        <f t="shared" si="35"/>
        <v>3.0787608005179967</v>
      </c>
      <c r="AI57" s="29">
        <f t="shared" si="36"/>
        <v>0</v>
      </c>
      <c r="AJ57" s="29">
        <f t="shared" si="18"/>
        <v>2270.5632833694158</v>
      </c>
      <c r="AL57" s="26">
        <f t="shared" si="37"/>
        <v>22736.420441699334</v>
      </c>
      <c r="AM57" s="27">
        <f t="shared" si="38"/>
        <v>2.638937829015426</v>
      </c>
      <c r="AN57" s="29">
        <f t="shared" si="39"/>
        <v>0</v>
      </c>
      <c r="AO57" s="29">
        <f t="shared" si="19"/>
        <v>22733.781503870319</v>
      </c>
      <c r="AQ57" s="26">
        <f t="shared" si="20"/>
        <v>227364.20441699339</v>
      </c>
      <c r="AR57" s="27">
        <f t="shared" si="21"/>
        <v>1.7592918860102844</v>
      </c>
      <c r="AS57" s="29">
        <f t="shared" si="22"/>
        <v>0</v>
      </c>
      <c r="AT57" s="29">
        <f t="shared" si="23"/>
        <v>227362.44512510739</v>
      </c>
      <c r="AV57" s="26">
        <f t="shared" si="24"/>
        <v>2273642.0441699335</v>
      </c>
      <c r="AW57" s="27">
        <f t="shared" si="25"/>
        <v>0.4398229715025711</v>
      </c>
      <c r="AX57" s="29">
        <f t="shared" si="26"/>
        <v>0</v>
      </c>
      <c r="AY57" s="29">
        <f t="shared" si="27"/>
        <v>2273641.6043469622</v>
      </c>
    </row>
    <row r="58" spans="2:51" x14ac:dyDescent="0.3">
      <c r="Q58" s="22">
        <v>800000</v>
      </c>
      <c r="R58" s="26">
        <f t="shared" si="12"/>
        <v>1.9894367886486919</v>
      </c>
      <c r="S58" s="27">
        <f t="shared" si="13"/>
        <v>25.132741228718341</v>
      </c>
      <c r="T58" s="28">
        <f t="shared" si="14"/>
        <v>0</v>
      </c>
      <c r="U58" s="29">
        <f t="shared" si="15"/>
        <v>23.143304440069649</v>
      </c>
      <c r="V58" s="11"/>
      <c r="W58" s="26">
        <f t="shared" si="28"/>
        <v>19.894367886486922</v>
      </c>
      <c r="X58" s="27">
        <f t="shared" si="29"/>
        <v>6.5345127194667691</v>
      </c>
      <c r="Y58" s="29">
        <f t="shared" si="30"/>
        <v>0</v>
      </c>
      <c r="Z58" s="29">
        <f t="shared" si="16"/>
        <v>13.359855167020154</v>
      </c>
      <c r="AB58" s="26">
        <f t="shared" si="31"/>
        <v>198.94367886486921</v>
      </c>
      <c r="AC58" s="27">
        <f t="shared" si="32"/>
        <v>4.5238934211693023</v>
      </c>
      <c r="AD58" s="29">
        <f t="shared" si="33"/>
        <v>0</v>
      </c>
      <c r="AE58" s="29">
        <f t="shared" si="17"/>
        <v>194.41978544369991</v>
      </c>
      <c r="AG58" s="26">
        <f t="shared" si="34"/>
        <v>1989.4367886486916</v>
      </c>
      <c r="AH58" s="27">
        <f t="shared" si="35"/>
        <v>3.5185837720205679</v>
      </c>
      <c r="AI58" s="29">
        <f t="shared" si="36"/>
        <v>0</v>
      </c>
      <c r="AJ58" s="29">
        <f t="shared" si="18"/>
        <v>1985.9182048766711</v>
      </c>
      <c r="AL58" s="26">
        <f t="shared" si="37"/>
        <v>19894.367886486918</v>
      </c>
      <c r="AM58" s="27">
        <f t="shared" si="38"/>
        <v>3.0159289474462012</v>
      </c>
      <c r="AN58" s="29">
        <f t="shared" si="39"/>
        <v>0</v>
      </c>
      <c r="AO58" s="29">
        <f t="shared" si="19"/>
        <v>19891.351957539471</v>
      </c>
      <c r="AQ58" s="26">
        <f t="shared" si="20"/>
        <v>198943.6788648692</v>
      </c>
      <c r="AR58" s="27">
        <f t="shared" si="21"/>
        <v>2.0106192982974678</v>
      </c>
      <c r="AS58" s="29">
        <f t="shared" si="22"/>
        <v>0</v>
      </c>
      <c r="AT58" s="29">
        <f t="shared" si="23"/>
        <v>198941.66824557091</v>
      </c>
      <c r="AV58" s="26">
        <f t="shared" si="24"/>
        <v>1989436.788648692</v>
      </c>
      <c r="AW58" s="27">
        <f t="shared" si="25"/>
        <v>0.50265482457436694</v>
      </c>
      <c r="AX58" s="29">
        <f t="shared" si="26"/>
        <v>0</v>
      </c>
      <c r="AY58" s="29">
        <f t="shared" si="27"/>
        <v>1989436.2859938673</v>
      </c>
    </row>
    <row r="59" spans="2:51" ht="15.6" x14ac:dyDescent="0.35">
      <c r="B59" s="2" t="s">
        <v>240</v>
      </c>
      <c r="C59" s="55">
        <v>1E-4</v>
      </c>
      <c r="D59" s="10" t="s">
        <v>8</v>
      </c>
      <c r="Q59" s="22">
        <v>900000</v>
      </c>
      <c r="R59" s="26">
        <f t="shared" si="12"/>
        <v>1.7683882565766149</v>
      </c>
      <c r="S59" s="27">
        <f t="shared" si="13"/>
        <v>28.274333882308138</v>
      </c>
      <c r="T59" s="28">
        <f t="shared" si="14"/>
        <v>0</v>
      </c>
      <c r="U59" s="29">
        <f t="shared" si="15"/>
        <v>26.505945625731524</v>
      </c>
      <c r="V59" s="11"/>
      <c r="W59" s="26">
        <f t="shared" si="28"/>
        <v>17.683882565766151</v>
      </c>
      <c r="X59" s="27">
        <f t="shared" si="29"/>
        <v>7.3513268094001152</v>
      </c>
      <c r="Y59" s="29">
        <f t="shared" si="30"/>
        <v>0</v>
      </c>
      <c r="Z59" s="29">
        <f t="shared" si="16"/>
        <v>10.332555756366036</v>
      </c>
      <c r="AB59" s="26">
        <f t="shared" si="31"/>
        <v>176.83882565766152</v>
      </c>
      <c r="AC59" s="27">
        <f t="shared" si="32"/>
        <v>5.0893800988154654</v>
      </c>
      <c r="AD59" s="29">
        <f t="shared" si="33"/>
        <v>0</v>
      </c>
      <c r="AE59" s="29">
        <f t="shared" si="17"/>
        <v>171.74944555884605</v>
      </c>
      <c r="AG59" s="26">
        <f t="shared" si="34"/>
        <v>1768.3882565766148</v>
      </c>
      <c r="AH59" s="27">
        <f t="shared" si="35"/>
        <v>3.9584067435231391</v>
      </c>
      <c r="AI59" s="29">
        <f t="shared" si="36"/>
        <v>0</v>
      </c>
      <c r="AJ59" s="29">
        <f t="shared" si="18"/>
        <v>1764.4298498330918</v>
      </c>
      <c r="AL59" s="26">
        <f t="shared" si="37"/>
        <v>17683.882565766151</v>
      </c>
      <c r="AM59" s="27">
        <f t="shared" si="38"/>
        <v>3.3929200658769765</v>
      </c>
      <c r="AN59" s="29">
        <f t="shared" si="39"/>
        <v>0</v>
      </c>
      <c r="AO59" s="29">
        <f t="shared" si="19"/>
        <v>17680.489645700272</v>
      </c>
      <c r="AQ59" s="26">
        <f t="shared" si="20"/>
        <v>176838.82565766151</v>
      </c>
      <c r="AR59" s="27">
        <f t="shared" si="21"/>
        <v>2.2619467105846516</v>
      </c>
      <c r="AS59" s="29">
        <f t="shared" si="22"/>
        <v>0</v>
      </c>
      <c r="AT59" s="29">
        <f t="shared" si="23"/>
        <v>176836.56371095093</v>
      </c>
      <c r="AV59" s="26">
        <f t="shared" si="24"/>
        <v>1768388.2565766149</v>
      </c>
      <c r="AW59" s="27">
        <f t="shared" si="25"/>
        <v>0.56548667764616289</v>
      </c>
      <c r="AX59" s="29">
        <f t="shared" si="26"/>
        <v>0</v>
      </c>
      <c r="AY59" s="29">
        <f t="shared" si="27"/>
        <v>1768387.6910899372</v>
      </c>
    </row>
    <row r="60" spans="2:51" x14ac:dyDescent="0.3">
      <c r="B60" s="2" t="s">
        <v>241</v>
      </c>
      <c r="C60" s="55">
        <v>0</v>
      </c>
      <c r="D60" s="4" t="s">
        <v>21</v>
      </c>
      <c r="Q60" s="22">
        <v>1000000</v>
      </c>
      <c r="R60" s="26">
        <f t="shared" si="12"/>
        <v>1.5915494309189537</v>
      </c>
      <c r="S60" s="27">
        <f t="shared" si="13"/>
        <v>31.415926535897935</v>
      </c>
      <c r="T60" s="28">
        <f t="shared" si="14"/>
        <v>0</v>
      </c>
      <c r="U60" s="29">
        <f t="shared" si="15"/>
        <v>29.824377104978982</v>
      </c>
      <c r="V60" s="11"/>
      <c r="W60" s="26">
        <f t="shared" si="28"/>
        <v>15.915494309189535</v>
      </c>
      <c r="X60" s="27">
        <f t="shared" si="29"/>
        <v>8.1681408993334621</v>
      </c>
      <c r="Y60" s="29">
        <f t="shared" si="30"/>
        <v>0</v>
      </c>
      <c r="Z60" s="29">
        <f t="shared" si="16"/>
        <v>7.747353409856073</v>
      </c>
      <c r="AB60" s="26">
        <f t="shared" si="31"/>
        <v>159.15494309189538</v>
      </c>
      <c r="AC60" s="27">
        <f t="shared" si="32"/>
        <v>5.6548667764616285</v>
      </c>
      <c r="AD60" s="29">
        <f t="shared" si="33"/>
        <v>0</v>
      </c>
      <c r="AE60" s="29">
        <f t="shared" si="17"/>
        <v>153.50007631543374</v>
      </c>
      <c r="AG60" s="26">
        <f t="shared" si="34"/>
        <v>1591.5494309189537</v>
      </c>
      <c r="AH60" s="27">
        <f t="shared" si="35"/>
        <v>4.3982297150257095</v>
      </c>
      <c r="AI60" s="29">
        <f t="shared" si="36"/>
        <v>0</v>
      </c>
      <c r="AJ60" s="29">
        <f t="shared" si="18"/>
        <v>1587.1512012039279</v>
      </c>
      <c r="AL60" s="26">
        <f t="shared" si="37"/>
        <v>15915.494309189533</v>
      </c>
      <c r="AM60" s="27">
        <f t="shared" si="38"/>
        <v>3.7699111843077517</v>
      </c>
      <c r="AN60" s="29">
        <f t="shared" si="39"/>
        <v>0</v>
      </c>
      <c r="AO60" s="29">
        <f t="shared" si="19"/>
        <v>15911.724398005224</v>
      </c>
      <c r="AQ60" s="26">
        <f t="shared" si="20"/>
        <v>159154.94309189534</v>
      </c>
      <c r="AR60" s="27">
        <f t="shared" si="21"/>
        <v>2.5132741228718349</v>
      </c>
      <c r="AS60" s="29">
        <f t="shared" si="22"/>
        <v>0</v>
      </c>
      <c r="AT60" s="29">
        <f t="shared" si="23"/>
        <v>159152.42981777247</v>
      </c>
      <c r="AV60" s="26">
        <f t="shared" si="24"/>
        <v>1591549.4309189534</v>
      </c>
      <c r="AW60" s="27">
        <f t="shared" si="25"/>
        <v>0.62831853071795873</v>
      </c>
      <c r="AX60" s="29">
        <f t="shared" si="26"/>
        <v>0</v>
      </c>
      <c r="AY60" s="29">
        <f t="shared" si="27"/>
        <v>1591548.8026004226</v>
      </c>
    </row>
    <row r="61" spans="2:51" x14ac:dyDescent="0.3">
      <c r="B61" s="2" t="s">
        <v>242</v>
      </c>
      <c r="C61" s="55">
        <v>0.1</v>
      </c>
      <c r="D61" s="4" t="s">
        <v>5</v>
      </c>
      <c r="Q61" s="22">
        <v>2000000</v>
      </c>
      <c r="R61" s="26">
        <f t="shared" si="12"/>
        <v>0.79577471545947687</v>
      </c>
      <c r="S61" s="27">
        <f t="shared" si="13"/>
        <v>62.831853071795869</v>
      </c>
      <c r="T61" s="28">
        <f t="shared" si="14"/>
        <v>0</v>
      </c>
      <c r="U61" s="29">
        <f t="shared" si="15"/>
        <v>62.03607835633639</v>
      </c>
      <c r="V61" s="11"/>
      <c r="W61" s="26">
        <f t="shared" si="28"/>
        <v>7.9577471545947676</v>
      </c>
      <c r="X61" s="27">
        <f t="shared" si="29"/>
        <v>16.336281798666924</v>
      </c>
      <c r="Y61" s="29">
        <f t="shared" si="30"/>
        <v>0</v>
      </c>
      <c r="Z61" s="29">
        <f t="shared" si="16"/>
        <v>8.3785346440721575</v>
      </c>
      <c r="AB61" s="26">
        <f t="shared" si="31"/>
        <v>79.577471545947688</v>
      </c>
      <c r="AC61" s="27">
        <f t="shared" si="32"/>
        <v>11.309733552923257</v>
      </c>
      <c r="AD61" s="29">
        <f t="shared" si="33"/>
        <v>0</v>
      </c>
      <c r="AE61" s="29">
        <f t="shared" si="17"/>
        <v>68.267737993024426</v>
      </c>
      <c r="AG61" s="26">
        <f t="shared" si="34"/>
        <v>795.77471545947685</v>
      </c>
      <c r="AH61" s="27">
        <f t="shared" si="35"/>
        <v>8.7964594300514189</v>
      </c>
      <c r="AI61" s="29">
        <f t="shared" si="36"/>
        <v>0</v>
      </c>
      <c r="AJ61" s="29">
        <f t="shared" si="18"/>
        <v>786.97825602942544</v>
      </c>
      <c r="AL61" s="26">
        <f t="shared" si="37"/>
        <v>7957.7471545947665</v>
      </c>
      <c r="AM61" s="27">
        <f t="shared" si="38"/>
        <v>7.5398223686155035</v>
      </c>
      <c r="AN61" s="29">
        <f t="shared" si="39"/>
        <v>0</v>
      </c>
      <c r="AO61" s="29">
        <f t="shared" si="19"/>
        <v>7950.2073322261513</v>
      </c>
      <c r="AQ61" s="26">
        <f t="shared" si="20"/>
        <v>79577.471545947672</v>
      </c>
      <c r="AR61" s="27">
        <f t="shared" si="21"/>
        <v>5.0265482457436699</v>
      </c>
      <c r="AS61" s="29">
        <f t="shared" si="22"/>
        <v>0</v>
      </c>
      <c r="AT61" s="29">
        <f t="shared" si="23"/>
        <v>79572.444997701925</v>
      </c>
      <c r="AV61" s="26">
        <f t="shared" si="24"/>
        <v>795774.71545947669</v>
      </c>
      <c r="AW61" s="27">
        <f t="shared" si="25"/>
        <v>1.2566370614359175</v>
      </c>
      <c r="AX61" s="29">
        <f t="shared" si="26"/>
        <v>0</v>
      </c>
      <c r="AY61" s="29">
        <f t="shared" si="27"/>
        <v>795773.45882241521</v>
      </c>
    </row>
    <row r="62" spans="2:51" x14ac:dyDescent="0.3">
      <c r="B62" s="2" t="s">
        <v>193</v>
      </c>
      <c r="C62" s="55">
        <v>1</v>
      </c>
      <c r="D62" s="4"/>
      <c r="Q62" s="22">
        <v>3000000</v>
      </c>
      <c r="R62" s="26">
        <f t="shared" si="12"/>
        <v>0.53051647697298443</v>
      </c>
      <c r="S62" s="27">
        <f t="shared" si="13"/>
        <v>94.247779607693801</v>
      </c>
      <c r="T62" s="28">
        <f t="shared" si="14"/>
        <v>0</v>
      </c>
      <c r="U62" s="29">
        <f t="shared" si="15"/>
        <v>93.717263130720809</v>
      </c>
      <c r="V62" s="11"/>
      <c r="W62" s="26">
        <f t="shared" si="28"/>
        <v>5.3051647697298447</v>
      </c>
      <c r="X62" s="27">
        <f t="shared" si="29"/>
        <v>24.504422698000386</v>
      </c>
      <c r="Y62" s="29">
        <f t="shared" si="30"/>
        <v>0</v>
      </c>
      <c r="Z62" s="29">
        <f t="shared" si="16"/>
        <v>19.199257928270541</v>
      </c>
      <c r="AB62" s="26">
        <f t="shared" si="31"/>
        <v>53.051647697298449</v>
      </c>
      <c r="AC62" s="27">
        <f t="shared" si="32"/>
        <v>16.964600329384883</v>
      </c>
      <c r="AD62" s="29">
        <f t="shared" si="33"/>
        <v>0</v>
      </c>
      <c r="AE62" s="29">
        <f t="shared" si="17"/>
        <v>36.08704736791357</v>
      </c>
      <c r="AG62" s="26">
        <f t="shared" si="34"/>
        <v>530.51647697298438</v>
      </c>
      <c r="AH62" s="27">
        <f t="shared" si="35"/>
        <v>13.194689145077129</v>
      </c>
      <c r="AI62" s="29">
        <f t="shared" si="36"/>
        <v>0</v>
      </c>
      <c r="AJ62" s="29">
        <f t="shared" si="18"/>
        <v>517.3217878279072</v>
      </c>
      <c r="AL62" s="26">
        <f t="shared" si="37"/>
        <v>5305.1647697298449</v>
      </c>
      <c r="AM62" s="27">
        <f t="shared" si="38"/>
        <v>11.309733552923255</v>
      </c>
      <c r="AN62" s="29">
        <f t="shared" si="39"/>
        <v>0</v>
      </c>
      <c r="AO62" s="29">
        <f t="shared" si="19"/>
        <v>5293.8550361769221</v>
      </c>
      <c r="AQ62" s="26">
        <f t="shared" si="20"/>
        <v>53051.647697298446</v>
      </c>
      <c r="AR62" s="27">
        <f t="shared" si="21"/>
        <v>7.5398223686155053</v>
      </c>
      <c r="AS62" s="29">
        <f t="shared" si="22"/>
        <v>0</v>
      </c>
      <c r="AT62" s="29">
        <f t="shared" si="23"/>
        <v>53044.107874929832</v>
      </c>
      <c r="AV62" s="26">
        <f t="shared" si="24"/>
        <v>530516.47697298438</v>
      </c>
      <c r="AW62" s="27">
        <f t="shared" si="25"/>
        <v>1.8849555921538763</v>
      </c>
      <c r="AX62" s="29">
        <f t="shared" si="26"/>
        <v>0</v>
      </c>
      <c r="AY62" s="29">
        <f t="shared" si="27"/>
        <v>530514.59201739228</v>
      </c>
    </row>
    <row r="63" spans="2:51" ht="15.6" x14ac:dyDescent="0.35">
      <c r="B63" s="2" t="s">
        <v>243</v>
      </c>
      <c r="C63" s="43">
        <f>C62*C59</f>
        <v>1E-4</v>
      </c>
      <c r="D63" s="10" t="s">
        <v>8</v>
      </c>
      <c r="Q63" s="22">
        <v>4000000</v>
      </c>
      <c r="R63" s="26">
        <f t="shared" si="12"/>
        <v>0.39788735772973843</v>
      </c>
      <c r="S63" s="27">
        <f t="shared" si="13"/>
        <v>125.66370614359174</v>
      </c>
      <c r="T63" s="28">
        <f t="shared" si="14"/>
        <v>0</v>
      </c>
      <c r="U63" s="29">
        <f t="shared" si="15"/>
        <v>125.265818785862</v>
      </c>
      <c r="V63" s="11"/>
      <c r="W63" s="26">
        <f t="shared" si="28"/>
        <v>3.9788735772973838</v>
      </c>
      <c r="X63" s="27">
        <f t="shared" si="29"/>
        <v>32.672563597333848</v>
      </c>
      <c r="Y63" s="29">
        <f t="shared" si="30"/>
        <v>0</v>
      </c>
      <c r="Z63" s="29">
        <f t="shared" si="16"/>
        <v>28.693690020036463</v>
      </c>
      <c r="AB63" s="26">
        <f t="shared" si="31"/>
        <v>39.788735772973844</v>
      </c>
      <c r="AC63" s="27">
        <f t="shared" si="32"/>
        <v>22.619467105846514</v>
      </c>
      <c r="AD63" s="29">
        <f t="shared" si="33"/>
        <v>0</v>
      </c>
      <c r="AE63" s="29">
        <f t="shared" si="17"/>
        <v>17.16926866712733</v>
      </c>
      <c r="AG63" s="26">
        <f t="shared" si="34"/>
        <v>397.88735772973843</v>
      </c>
      <c r="AH63" s="27">
        <f t="shared" si="35"/>
        <v>17.592918860102838</v>
      </c>
      <c r="AI63" s="29">
        <f t="shared" si="36"/>
        <v>0</v>
      </c>
      <c r="AJ63" s="29">
        <f t="shared" si="18"/>
        <v>380.2944388696356</v>
      </c>
      <c r="AL63" s="26">
        <f t="shared" si="37"/>
        <v>3978.8735772973832</v>
      </c>
      <c r="AM63" s="27">
        <f t="shared" si="38"/>
        <v>15.079644737231007</v>
      </c>
      <c r="AN63" s="29">
        <f t="shared" si="39"/>
        <v>0</v>
      </c>
      <c r="AO63" s="29">
        <f t="shared" si="19"/>
        <v>3963.7939325601524</v>
      </c>
      <c r="AQ63" s="26">
        <f t="shared" si="20"/>
        <v>39788.735772973836</v>
      </c>
      <c r="AR63" s="27">
        <f t="shared" si="21"/>
        <v>10.05309649148734</v>
      </c>
      <c r="AS63" s="29">
        <f t="shared" si="22"/>
        <v>0</v>
      </c>
      <c r="AT63" s="29">
        <f t="shared" si="23"/>
        <v>39778.682676482349</v>
      </c>
      <c r="AV63" s="26">
        <f t="shared" si="24"/>
        <v>397887.35772973835</v>
      </c>
      <c r="AW63" s="27">
        <f t="shared" si="25"/>
        <v>2.5132741228718349</v>
      </c>
      <c r="AX63" s="29">
        <f t="shared" si="26"/>
        <v>0</v>
      </c>
      <c r="AY63" s="29">
        <f t="shared" si="27"/>
        <v>397884.8444556155</v>
      </c>
    </row>
    <row r="64" spans="2:51" x14ac:dyDescent="0.3">
      <c r="B64" s="2" t="s">
        <v>244</v>
      </c>
      <c r="C64" s="43">
        <f>C60/C62</f>
        <v>0</v>
      </c>
      <c r="D64" s="4" t="s">
        <v>21</v>
      </c>
      <c r="Q64" s="22">
        <v>5000000</v>
      </c>
      <c r="R64" s="26">
        <f t="shared" si="12"/>
        <v>0.31830988618379069</v>
      </c>
      <c r="S64" s="27">
        <f t="shared" si="13"/>
        <v>157.07963267948966</v>
      </c>
      <c r="T64" s="28">
        <f t="shared" si="14"/>
        <v>0</v>
      </c>
      <c r="U64" s="29">
        <f t="shared" si="15"/>
        <v>156.76132279330588</v>
      </c>
      <c r="V64" s="11"/>
      <c r="W64" s="26">
        <f t="shared" si="28"/>
        <v>3.1830988618379066</v>
      </c>
      <c r="X64" s="27">
        <f t="shared" si="29"/>
        <v>40.840704496667314</v>
      </c>
      <c r="Y64" s="29">
        <f t="shared" si="30"/>
        <v>0</v>
      </c>
      <c r="Z64" s="29">
        <f t="shared" si="16"/>
        <v>37.657605634829409</v>
      </c>
      <c r="AB64" s="26">
        <f t="shared" si="31"/>
        <v>31.830988618379067</v>
      </c>
      <c r="AC64" s="27">
        <f t="shared" si="32"/>
        <v>28.274333882308142</v>
      </c>
      <c r="AD64" s="29">
        <f t="shared" si="33"/>
        <v>0</v>
      </c>
      <c r="AE64" s="29">
        <f t="shared" si="17"/>
        <v>3.5566547360709251</v>
      </c>
      <c r="AG64" s="26">
        <f t="shared" si="34"/>
        <v>318.30988618379064</v>
      </c>
      <c r="AH64" s="27">
        <f t="shared" si="35"/>
        <v>21.991148575128552</v>
      </c>
      <c r="AI64" s="29">
        <f t="shared" si="36"/>
        <v>0</v>
      </c>
      <c r="AJ64" s="29">
        <f t="shared" si="18"/>
        <v>296.3187376086621</v>
      </c>
      <c r="AL64" s="26">
        <f t="shared" si="37"/>
        <v>3183.098861837907</v>
      </c>
      <c r="AM64" s="27">
        <f t="shared" si="38"/>
        <v>18.849555921538759</v>
      </c>
      <c r="AN64" s="29">
        <f t="shared" si="39"/>
        <v>0</v>
      </c>
      <c r="AO64" s="29">
        <f t="shared" si="19"/>
        <v>3164.249305916368</v>
      </c>
      <c r="AQ64" s="26">
        <f t="shared" si="20"/>
        <v>31830.988618379066</v>
      </c>
      <c r="AR64" s="27">
        <f t="shared" si="21"/>
        <v>12.566370614359174</v>
      </c>
      <c r="AS64" s="29">
        <f t="shared" si="22"/>
        <v>0</v>
      </c>
      <c r="AT64" s="29">
        <f t="shared" si="23"/>
        <v>31818.422247764705</v>
      </c>
      <c r="AV64" s="26">
        <f t="shared" si="24"/>
        <v>318309.88618379069</v>
      </c>
      <c r="AW64" s="27">
        <f t="shared" si="25"/>
        <v>3.1415926535897936</v>
      </c>
      <c r="AX64" s="29">
        <f t="shared" si="26"/>
        <v>0</v>
      </c>
      <c r="AY64" s="29">
        <f t="shared" si="27"/>
        <v>318306.7445911371</v>
      </c>
    </row>
    <row r="65" spans="2:51" x14ac:dyDescent="0.3">
      <c r="B65" s="2" t="s">
        <v>245</v>
      </c>
      <c r="C65" s="43">
        <f>C61/C62</f>
        <v>0.1</v>
      </c>
      <c r="D65" s="4" t="s">
        <v>5</v>
      </c>
      <c r="Q65" s="22">
        <v>6000000</v>
      </c>
      <c r="R65" s="26">
        <f t="shared" si="12"/>
        <v>0.26525823848649221</v>
      </c>
      <c r="S65" s="27">
        <f t="shared" si="13"/>
        <v>188.4955592153876</v>
      </c>
      <c r="T65" s="28">
        <f t="shared" si="14"/>
        <v>0</v>
      </c>
      <c r="U65" s="29">
        <f t="shared" si="15"/>
        <v>188.23030097690111</v>
      </c>
      <c r="V65" s="11"/>
      <c r="W65" s="26">
        <f t="shared" si="28"/>
        <v>2.6525823848649224</v>
      </c>
      <c r="X65" s="27">
        <f t="shared" si="29"/>
        <v>49.008845396000773</v>
      </c>
      <c r="Y65" s="29">
        <f t="shared" si="30"/>
        <v>0</v>
      </c>
      <c r="Z65" s="29">
        <f t="shared" si="16"/>
        <v>46.356263011135852</v>
      </c>
      <c r="AB65" s="26">
        <f t="shared" si="31"/>
        <v>26.525823848649225</v>
      </c>
      <c r="AC65" s="27">
        <f t="shared" si="32"/>
        <v>33.929200658769766</v>
      </c>
      <c r="AD65" s="29">
        <f t="shared" si="33"/>
        <v>0</v>
      </c>
      <c r="AE65" s="29">
        <f t="shared" si="17"/>
        <v>7.4033768101205411</v>
      </c>
      <c r="AG65" s="26">
        <f t="shared" si="34"/>
        <v>265.25823848649219</v>
      </c>
      <c r="AH65" s="27">
        <f t="shared" si="35"/>
        <v>26.389378290154259</v>
      </c>
      <c r="AI65" s="29">
        <f t="shared" si="36"/>
        <v>0</v>
      </c>
      <c r="AJ65" s="29">
        <f t="shared" si="18"/>
        <v>238.86886019633792</v>
      </c>
      <c r="AL65" s="26">
        <f t="shared" si="37"/>
        <v>2652.5823848649225</v>
      </c>
      <c r="AM65" s="27">
        <f t="shared" si="38"/>
        <v>22.61946710584651</v>
      </c>
      <c r="AN65" s="29">
        <f t="shared" si="39"/>
        <v>0</v>
      </c>
      <c r="AO65" s="29">
        <f t="shared" si="19"/>
        <v>2629.9629177590759</v>
      </c>
      <c r="AP65" s="11"/>
      <c r="AQ65" s="26">
        <f t="shared" si="20"/>
        <v>26525.823848649223</v>
      </c>
      <c r="AR65" s="27">
        <f t="shared" si="21"/>
        <v>15.079644737231011</v>
      </c>
      <c r="AS65" s="29">
        <f t="shared" si="22"/>
        <v>0</v>
      </c>
      <c r="AT65" s="29">
        <f t="shared" si="23"/>
        <v>26510.744203911992</v>
      </c>
      <c r="AV65" s="26">
        <f t="shared" si="24"/>
        <v>265258.23848649219</v>
      </c>
      <c r="AW65" s="27">
        <f t="shared" si="25"/>
        <v>3.7699111843077526</v>
      </c>
      <c r="AX65" s="29">
        <f t="shared" si="26"/>
        <v>0</v>
      </c>
      <c r="AY65" s="29">
        <f t="shared" si="27"/>
        <v>265254.46857530787</v>
      </c>
    </row>
    <row r="66" spans="2:51" x14ac:dyDescent="0.3">
      <c r="B66" s="2" t="s">
        <v>246</v>
      </c>
      <c r="C66" s="47">
        <f>(1/(2*PI()*(SQRT(C59*0.000001*C61*0.000000001))))*0.000001</f>
        <v>1591.549430918953</v>
      </c>
      <c r="D66" s="4" t="s">
        <v>87</v>
      </c>
      <c r="Q66" s="22">
        <v>7000000</v>
      </c>
      <c r="R66" s="26">
        <f t="shared" si="12"/>
        <v>0.22736420441699337</v>
      </c>
      <c r="S66" s="27">
        <f t="shared" si="13"/>
        <v>219.91148575128551</v>
      </c>
      <c r="T66" s="28">
        <f t="shared" si="14"/>
        <v>0</v>
      </c>
      <c r="U66" s="29">
        <f t="shared" si="15"/>
        <v>219.68412154686851</v>
      </c>
      <c r="V66" s="11"/>
      <c r="W66" s="26">
        <f t="shared" si="28"/>
        <v>2.2736420441699337</v>
      </c>
      <c r="X66" s="27">
        <f t="shared" si="29"/>
        <v>57.176986295334238</v>
      </c>
      <c r="Y66" s="29">
        <f t="shared" si="30"/>
        <v>0</v>
      </c>
      <c r="Z66" s="29">
        <f t="shared" si="16"/>
        <v>54.903344251164306</v>
      </c>
      <c r="AB66" s="26">
        <f t="shared" si="31"/>
        <v>22.736420441699334</v>
      </c>
      <c r="AC66" s="27">
        <f t="shared" si="32"/>
        <v>39.584067435231397</v>
      </c>
      <c r="AD66" s="29">
        <f t="shared" si="33"/>
        <v>0</v>
      </c>
      <c r="AE66" s="29">
        <f t="shared" si="17"/>
        <v>16.847646993532063</v>
      </c>
      <c r="AG66" s="26">
        <f t="shared" si="34"/>
        <v>227.36420441699335</v>
      </c>
      <c r="AH66" s="27">
        <f t="shared" si="35"/>
        <v>30.787608005179973</v>
      </c>
      <c r="AI66" s="29">
        <f t="shared" si="36"/>
        <v>0</v>
      </c>
      <c r="AJ66" s="29">
        <f t="shared" si="18"/>
        <v>196.57659641181337</v>
      </c>
      <c r="AL66" s="26">
        <f t="shared" si="37"/>
        <v>2273.6420441699338</v>
      </c>
      <c r="AM66" s="27">
        <f t="shared" si="38"/>
        <v>26.389378290154262</v>
      </c>
      <c r="AN66" s="29">
        <f t="shared" si="39"/>
        <v>0</v>
      </c>
      <c r="AO66" s="29">
        <f t="shared" si="19"/>
        <v>2247.2526658797797</v>
      </c>
      <c r="AP66" s="11"/>
      <c r="AQ66" s="26">
        <f t="shared" si="20"/>
        <v>22736.420441699334</v>
      </c>
      <c r="AR66" s="27">
        <f t="shared" si="21"/>
        <v>17.592918860102845</v>
      </c>
      <c r="AS66" s="29">
        <f t="shared" si="22"/>
        <v>0</v>
      </c>
      <c r="AT66" s="29">
        <f t="shared" si="23"/>
        <v>22718.82752283923</v>
      </c>
      <c r="AV66" s="26">
        <f t="shared" si="24"/>
        <v>227364.20441699334</v>
      </c>
      <c r="AW66" s="27">
        <f t="shared" si="25"/>
        <v>4.3982297150257113</v>
      </c>
      <c r="AX66" s="29">
        <f t="shared" si="26"/>
        <v>0</v>
      </c>
      <c r="AY66" s="29">
        <f t="shared" si="27"/>
        <v>227359.8061872783</v>
      </c>
    </row>
    <row r="67" spans="2:51" x14ac:dyDescent="0.3">
      <c r="Q67" s="22">
        <v>8000000</v>
      </c>
      <c r="R67" s="26">
        <f t="shared" si="12"/>
        <v>0.19894367886486922</v>
      </c>
      <c r="S67" s="27">
        <f t="shared" si="13"/>
        <v>251.32741228718348</v>
      </c>
      <c r="T67" s="28">
        <f t="shared" si="14"/>
        <v>0</v>
      </c>
      <c r="U67" s="29">
        <f t="shared" si="15"/>
        <v>251.1284686083186</v>
      </c>
      <c r="V67" s="11"/>
      <c r="W67" s="26">
        <f t="shared" si="28"/>
        <v>1.9894367886486919</v>
      </c>
      <c r="X67" s="27">
        <f t="shared" si="29"/>
        <v>65.345127194667697</v>
      </c>
      <c r="Y67" s="29">
        <f t="shared" si="30"/>
        <v>0</v>
      </c>
      <c r="Z67" s="29">
        <f t="shared" si="16"/>
        <v>63.355690406019008</v>
      </c>
      <c r="AB67" s="26">
        <f t="shared" si="31"/>
        <v>19.894367886486922</v>
      </c>
      <c r="AC67" s="27">
        <f t="shared" si="32"/>
        <v>45.238934211693028</v>
      </c>
      <c r="AD67" s="29">
        <f t="shared" si="33"/>
        <v>0</v>
      </c>
      <c r="AE67" s="29">
        <f t="shared" si="17"/>
        <v>25.344566325206106</v>
      </c>
      <c r="AG67" s="26">
        <f t="shared" si="34"/>
        <v>198.94367886486921</v>
      </c>
      <c r="AH67" s="27">
        <f t="shared" si="35"/>
        <v>35.185837720205676</v>
      </c>
      <c r="AI67" s="29">
        <f t="shared" si="36"/>
        <v>0</v>
      </c>
      <c r="AJ67" s="29">
        <f t="shared" si="18"/>
        <v>163.75784114466353</v>
      </c>
      <c r="AL67" s="26">
        <f t="shared" si="37"/>
        <v>1989.4367886486916</v>
      </c>
      <c r="AM67" s="27">
        <f t="shared" si="38"/>
        <v>30.159289474462014</v>
      </c>
      <c r="AN67" s="29">
        <f t="shared" si="39"/>
        <v>0</v>
      </c>
      <c r="AO67" s="29">
        <f t="shared" si="19"/>
        <v>1959.2774991742297</v>
      </c>
      <c r="AP67" s="11"/>
      <c r="AQ67" s="26">
        <f t="shared" si="20"/>
        <v>19894.367886486918</v>
      </c>
      <c r="AR67" s="27">
        <f t="shared" si="21"/>
        <v>20.106192982974679</v>
      </c>
      <c r="AS67" s="29">
        <f t="shared" si="22"/>
        <v>0</v>
      </c>
      <c r="AT67" s="29">
        <f t="shared" si="23"/>
        <v>19874.261693503944</v>
      </c>
      <c r="AV67" s="26">
        <f t="shared" si="24"/>
        <v>198943.67886486917</v>
      </c>
      <c r="AW67" s="27">
        <f t="shared" si="25"/>
        <v>5.0265482457436699</v>
      </c>
      <c r="AX67" s="29">
        <f t="shared" si="26"/>
        <v>0</v>
      </c>
      <c r="AY67" s="29">
        <f t="shared" si="27"/>
        <v>198938.65231662343</v>
      </c>
    </row>
    <row r="68" spans="2:51" x14ac:dyDescent="0.3">
      <c r="Q68" s="22">
        <v>9000000</v>
      </c>
      <c r="R68" s="26">
        <f t="shared" si="12"/>
        <v>0.17683882565766151</v>
      </c>
      <c r="S68" s="27">
        <f t="shared" si="13"/>
        <v>282.74333882308139</v>
      </c>
      <c r="T68" s="28">
        <f t="shared" si="14"/>
        <v>0</v>
      </c>
      <c r="U68" s="29">
        <f t="shared" si="15"/>
        <v>282.5664999974237</v>
      </c>
      <c r="V68" s="11"/>
      <c r="W68" s="26">
        <f t="shared" si="28"/>
        <v>1.7683882565766149</v>
      </c>
      <c r="X68" s="27">
        <f t="shared" si="29"/>
        <v>73.513268094001162</v>
      </c>
      <c r="Y68" s="29">
        <f t="shared" si="30"/>
        <v>0</v>
      </c>
      <c r="Z68" s="29">
        <f t="shared" si="16"/>
        <v>71.744879837424548</v>
      </c>
      <c r="AB68" s="26">
        <f t="shared" si="31"/>
        <v>17.683882565766151</v>
      </c>
      <c r="AC68" s="27">
        <f t="shared" si="32"/>
        <v>50.893800988154652</v>
      </c>
      <c r="AD68" s="29">
        <f t="shared" si="33"/>
        <v>0</v>
      </c>
      <c r="AE68" s="29">
        <f t="shared" si="17"/>
        <v>33.209918422388498</v>
      </c>
      <c r="AG68" s="26">
        <f t="shared" si="34"/>
        <v>176.83882565766152</v>
      </c>
      <c r="AH68" s="27">
        <f t="shared" si="35"/>
        <v>39.58406743523139</v>
      </c>
      <c r="AI68" s="29">
        <f t="shared" si="36"/>
        <v>0</v>
      </c>
      <c r="AJ68" s="29">
        <f t="shared" si="18"/>
        <v>137.25475822243013</v>
      </c>
      <c r="AL68" s="26">
        <f t="shared" si="37"/>
        <v>1768.3882565766148</v>
      </c>
      <c r="AM68" s="27">
        <f t="shared" si="38"/>
        <v>33.929200658769759</v>
      </c>
      <c r="AN68" s="29">
        <f t="shared" si="39"/>
        <v>0</v>
      </c>
      <c r="AO68" s="29">
        <f t="shared" si="19"/>
        <v>1734.459055917845</v>
      </c>
      <c r="AP68" s="11"/>
      <c r="AQ68" s="26">
        <f t="shared" si="20"/>
        <v>17683.882565766151</v>
      </c>
      <c r="AR68" s="27">
        <f t="shared" si="21"/>
        <v>22.619467105846514</v>
      </c>
      <c r="AS68" s="29">
        <f t="shared" si="22"/>
        <v>0</v>
      </c>
      <c r="AT68" s="29">
        <f t="shared" si="23"/>
        <v>17661.263098660304</v>
      </c>
      <c r="AV68" s="26">
        <f t="shared" si="24"/>
        <v>176838.82565766151</v>
      </c>
      <c r="AW68" s="27">
        <f t="shared" si="25"/>
        <v>5.6548667764616285</v>
      </c>
      <c r="AX68" s="29">
        <f t="shared" si="26"/>
        <v>0</v>
      </c>
      <c r="AY68" s="29">
        <f t="shared" si="27"/>
        <v>176833.17079088505</v>
      </c>
    </row>
    <row r="69" spans="2:51" x14ac:dyDescent="0.3">
      <c r="Q69" s="22">
        <v>10000000</v>
      </c>
      <c r="R69" s="26">
        <f t="shared" si="12"/>
        <v>0.15915494309189535</v>
      </c>
      <c r="S69" s="27">
        <f t="shared" si="13"/>
        <v>314.15926535897933</v>
      </c>
      <c r="T69" s="28">
        <f t="shared" si="14"/>
        <v>0</v>
      </c>
      <c r="U69" s="29">
        <f t="shared" si="15"/>
        <v>314.00011041588743</v>
      </c>
      <c r="V69" s="11"/>
      <c r="W69" s="26">
        <f t="shared" si="28"/>
        <v>1.5915494309189533</v>
      </c>
      <c r="X69" s="27">
        <f t="shared" si="29"/>
        <v>81.681408993334628</v>
      </c>
      <c r="Y69" s="29">
        <f t="shared" si="30"/>
        <v>0</v>
      </c>
      <c r="Z69" s="29">
        <f t="shared" si="16"/>
        <v>80.089859562415668</v>
      </c>
      <c r="AB69" s="26">
        <f t="shared" si="31"/>
        <v>15.915494309189533</v>
      </c>
      <c r="AC69" s="27">
        <f t="shared" si="32"/>
        <v>56.548667764616283</v>
      </c>
      <c r="AD69" s="29">
        <f t="shared" si="33"/>
        <v>0</v>
      </c>
      <c r="AE69" s="29">
        <f t="shared" si="17"/>
        <v>40.63317345542675</v>
      </c>
      <c r="AG69" s="26">
        <f t="shared" si="34"/>
        <v>159.15494309189532</v>
      </c>
      <c r="AH69" s="27">
        <f t="shared" si="35"/>
        <v>43.982297150257104</v>
      </c>
      <c r="AI69" s="29">
        <f t="shared" si="36"/>
        <v>0</v>
      </c>
      <c r="AJ69" s="29">
        <f t="shared" si="18"/>
        <v>115.17264594163822</v>
      </c>
      <c r="AL69" s="26">
        <f t="shared" si="37"/>
        <v>1591.5494309189535</v>
      </c>
      <c r="AM69" s="27">
        <f t="shared" si="38"/>
        <v>37.699111843077517</v>
      </c>
      <c r="AN69" s="29">
        <f t="shared" si="39"/>
        <v>0</v>
      </c>
      <c r="AO69" s="29">
        <f t="shared" si="19"/>
        <v>1553.8503190758759</v>
      </c>
      <c r="AQ69" s="26">
        <f t="shared" si="20"/>
        <v>15915.494309189533</v>
      </c>
      <c r="AR69" s="27">
        <f t="shared" si="21"/>
        <v>25.132741228718348</v>
      </c>
      <c r="AS69" s="29">
        <f t="shared" si="22"/>
        <v>0</v>
      </c>
      <c r="AT69" s="29">
        <f t="shared" si="23"/>
        <v>15890.361567960814</v>
      </c>
      <c r="AV69" s="26">
        <f t="shared" si="24"/>
        <v>159154.94309189534</v>
      </c>
      <c r="AW69" s="27">
        <f t="shared" si="25"/>
        <v>6.2831853071795871</v>
      </c>
      <c r="AX69" s="29">
        <f t="shared" si="26"/>
        <v>0</v>
      </c>
      <c r="AY69" s="29">
        <f t="shared" si="27"/>
        <v>159148.65990658817</v>
      </c>
    </row>
    <row r="70" spans="2:51" x14ac:dyDescent="0.3">
      <c r="Q70" s="22">
        <v>20000000</v>
      </c>
      <c r="R70" s="26">
        <f t="shared" si="12"/>
        <v>7.9577471545947673E-2</v>
      </c>
      <c r="S70" s="27">
        <f t="shared" si="13"/>
        <v>628.31853071795865</v>
      </c>
      <c r="T70" s="28">
        <f t="shared" si="14"/>
        <v>0</v>
      </c>
      <c r="U70" s="29">
        <f t="shared" si="15"/>
        <v>628.23895324641273</v>
      </c>
      <c r="V70" s="11"/>
      <c r="W70" s="26">
        <f t="shared" ref="W70:W87" si="40">1000/(2*PI()*$Q70*$C$14*0.000001)</f>
        <v>0.79577471545947664</v>
      </c>
      <c r="X70" s="27">
        <f t="shared" ref="X70:X87" si="41">2*PI()*$Q70*((0.000000001*$C$16))*1000</f>
        <v>163.36281798666926</v>
      </c>
      <c r="Y70" s="29">
        <f t="shared" ref="Y70:Y87" si="42">($C$15)</f>
        <v>0</v>
      </c>
      <c r="Z70" s="29">
        <f t="shared" si="16"/>
        <v>162.56704327120977</v>
      </c>
      <c r="AB70" s="26">
        <f t="shared" ref="AB70:AB87" si="43">1000/(2*PI()*$Q70*$C$26*$C$23*0.000001)</f>
        <v>7.9577471545947667</v>
      </c>
      <c r="AC70" s="27">
        <f t="shared" ref="AC70:AC87" si="44">2*PI()*$Q70*((0.000000001*$C$25)/$C$26)*1000</f>
        <v>113.09733552923257</v>
      </c>
      <c r="AD70" s="29">
        <f t="shared" ref="AD70:AD87" si="45">($C$24)/$C$26</f>
        <v>0</v>
      </c>
      <c r="AE70" s="29">
        <f t="shared" si="17"/>
        <v>105.1395883746378</v>
      </c>
      <c r="AG70" s="26">
        <f t="shared" ref="AG70:AG87" si="46">1000/(2*PI()*$Q70*$C$32*0.000001)</f>
        <v>79.57747154594766</v>
      </c>
      <c r="AH70" s="27">
        <f t="shared" ref="AH70:AH87" si="47">2*PI()*$Q70*((0.000000001*$C$34))*1000</f>
        <v>87.964594300514207</v>
      </c>
      <c r="AI70" s="29">
        <f t="shared" ref="AI70:AI87" si="48">($C$33)</f>
        <v>0</v>
      </c>
      <c r="AJ70" s="29">
        <f t="shared" si="18"/>
        <v>8.3871227545665477</v>
      </c>
      <c r="AL70" s="26">
        <f t="shared" ref="AL70:AL87" si="49">1000/(2*PI()*$Q70*$C$41*0.000001)</f>
        <v>795.77471545947674</v>
      </c>
      <c r="AM70" s="27">
        <f t="shared" ref="AM70:AM87" si="50">2*PI()*$Q70*((0.000000001*$C$43))*1000</f>
        <v>75.398223686155035</v>
      </c>
      <c r="AN70" s="29">
        <f t="shared" ref="AN70:AN87" si="51">($C$42)</f>
        <v>0</v>
      </c>
      <c r="AO70" s="29">
        <f t="shared" si="19"/>
        <v>720.37649177332173</v>
      </c>
      <c r="AQ70" s="26">
        <f t="shared" si="20"/>
        <v>7957.7471545947665</v>
      </c>
      <c r="AR70" s="27">
        <f t="shared" si="21"/>
        <v>50.265482457436697</v>
      </c>
      <c r="AS70" s="29">
        <f t="shared" si="22"/>
        <v>0</v>
      </c>
      <c r="AT70" s="29">
        <f t="shared" si="23"/>
        <v>7907.48167213733</v>
      </c>
      <c r="AV70" s="26">
        <f t="shared" si="24"/>
        <v>79577.471545947672</v>
      </c>
      <c r="AW70" s="27">
        <f t="shared" si="25"/>
        <v>12.566370614359174</v>
      </c>
      <c r="AX70" s="29">
        <f t="shared" si="26"/>
        <v>0</v>
      </c>
      <c r="AY70" s="29">
        <f t="shared" si="27"/>
        <v>79564.905175333319</v>
      </c>
    </row>
    <row r="71" spans="2:51" x14ac:dyDescent="0.3">
      <c r="Q71" s="22">
        <v>30000000</v>
      </c>
      <c r="R71" s="26">
        <f t="shared" ref="R71:R87" si="52">1000/(2*PI()*$Q71*$C$5*0.000001)</f>
        <v>5.3051647697298455E-2</v>
      </c>
      <c r="S71" s="27">
        <f t="shared" ref="S71:S87" si="53">2*PI()*$Q71*((0.000000001*$C$7))*1000</f>
        <v>942.47779607693792</v>
      </c>
      <c r="T71" s="28">
        <f t="shared" ref="T71:T87" si="54">($C$6)</f>
        <v>0</v>
      </c>
      <c r="U71" s="29">
        <f t="shared" ref="U71:U87" si="55">SQRT(T71^(2)+ABS(R71-S71)^(2))</f>
        <v>942.4247444292406</v>
      </c>
      <c r="V71" s="11"/>
      <c r="W71" s="26">
        <f t="shared" si="40"/>
        <v>0.53051647697298443</v>
      </c>
      <c r="X71" s="27">
        <f t="shared" si="41"/>
        <v>245.04422698000386</v>
      </c>
      <c r="Y71" s="29">
        <f t="shared" si="42"/>
        <v>0</v>
      </c>
      <c r="Z71" s="29">
        <f t="shared" ref="Z71:Z87" si="56">SQRT(Y71^(2)+ABS(W71-X71)^(2))</f>
        <v>244.51371050303086</v>
      </c>
      <c r="AB71" s="26">
        <f t="shared" si="43"/>
        <v>5.3051647697298447</v>
      </c>
      <c r="AC71" s="27">
        <f t="shared" si="44"/>
        <v>169.64600329384885</v>
      </c>
      <c r="AD71" s="29">
        <f t="shared" si="45"/>
        <v>0</v>
      </c>
      <c r="AE71" s="29">
        <f t="shared" ref="AE71:AE87" si="57">SQRT(AD71^(2)+ABS(AB71-AC71)^(2))</f>
        <v>164.34083852411899</v>
      </c>
      <c r="AG71" s="26">
        <f t="shared" si="46"/>
        <v>53.051647697298449</v>
      </c>
      <c r="AH71" s="27">
        <f t="shared" si="47"/>
        <v>131.94689145077129</v>
      </c>
      <c r="AI71" s="29">
        <f t="shared" si="48"/>
        <v>0</v>
      </c>
      <c r="AJ71" s="29">
        <f t="shared" ref="AJ71:AJ87" si="58">SQRT(AI71^(2)+ABS(AG71-AH71)^(2))</f>
        <v>78.89524375347284</v>
      </c>
      <c r="AL71" s="26">
        <f t="shared" si="49"/>
        <v>530.51647697298449</v>
      </c>
      <c r="AM71" s="27">
        <f t="shared" si="50"/>
        <v>113.09733552923255</v>
      </c>
      <c r="AN71" s="29">
        <f t="shared" si="51"/>
        <v>0</v>
      </c>
      <c r="AO71" s="29">
        <f t="shared" ref="AO71:AO87" si="59">SQRT(AN71^(2)+ABS(AL71-AM71)^(2))</f>
        <v>417.41914144375193</v>
      </c>
      <c r="AQ71" s="26">
        <f t="shared" ref="AQ71:AQ87" si="60">1000/(2*PI()*$Q71*$C$50*0.000001)</f>
        <v>5305.1647697298449</v>
      </c>
      <c r="AR71" s="27">
        <f t="shared" ref="AR71:AR87" si="61">2*PI()*$Q71*((0.000000001*$C$52))*1000</f>
        <v>75.398223686155049</v>
      </c>
      <c r="AS71" s="29">
        <f t="shared" ref="AS71:AS87" si="62">($C$51)</f>
        <v>0</v>
      </c>
      <c r="AT71" s="29">
        <f t="shared" ref="AT71:AT87" si="63">SQRT(AS71^(2)+ABS(AQ71-AR71)^(2))</f>
        <v>5229.7665460436901</v>
      </c>
      <c r="AV71" s="26">
        <f t="shared" ref="AV71:AV87" si="64">1000/(2*PI()*$Q71*$C$59*0.000001)</f>
        <v>53051.647697298446</v>
      </c>
      <c r="AW71" s="27">
        <f t="shared" ref="AW71:AW87" si="65">2*PI()*$Q71*((0.000000001*$C$61))*1000</f>
        <v>18.849555921538762</v>
      </c>
      <c r="AX71" s="29">
        <f t="shared" ref="AX71:AX87" si="66">($C$60)</f>
        <v>0</v>
      </c>
      <c r="AY71" s="29">
        <f t="shared" ref="AY71:AY87" si="67">SQRT(AX71^(2)+ABS(AV71-AW71)^(2))</f>
        <v>53032.798141376908</v>
      </c>
    </row>
    <row r="72" spans="2:51" x14ac:dyDescent="0.3">
      <c r="Q72" s="22">
        <v>40000000</v>
      </c>
      <c r="R72" s="26">
        <f t="shared" si="52"/>
        <v>3.9788735772973836E-2</v>
      </c>
      <c r="S72" s="27">
        <f t="shared" si="53"/>
        <v>1256.6370614359173</v>
      </c>
      <c r="T72" s="28">
        <f t="shared" si="54"/>
        <v>0</v>
      </c>
      <c r="U72" s="29">
        <f t="shared" si="55"/>
        <v>1256.5972727001442</v>
      </c>
      <c r="V72" s="11"/>
      <c r="W72" s="26">
        <f t="shared" si="40"/>
        <v>0.39788735772973832</v>
      </c>
      <c r="X72" s="27">
        <f t="shared" si="41"/>
        <v>326.72563597333851</v>
      </c>
      <c r="Y72" s="29">
        <f t="shared" si="42"/>
        <v>0</v>
      </c>
      <c r="Z72" s="29">
        <f t="shared" si="56"/>
        <v>326.32774861560875</v>
      </c>
      <c r="AB72" s="26">
        <f t="shared" si="43"/>
        <v>3.9788735772973833</v>
      </c>
      <c r="AC72" s="27">
        <f t="shared" si="44"/>
        <v>226.19467105846513</v>
      </c>
      <c r="AD72" s="29">
        <f t="shared" si="45"/>
        <v>0</v>
      </c>
      <c r="AE72" s="29">
        <f t="shared" si="57"/>
        <v>222.21579748116775</v>
      </c>
      <c r="AG72" s="26">
        <f t="shared" si="46"/>
        <v>39.78873577297383</v>
      </c>
      <c r="AH72" s="27">
        <f t="shared" si="47"/>
        <v>175.92918860102841</v>
      </c>
      <c r="AI72" s="29">
        <f t="shared" si="48"/>
        <v>0</v>
      </c>
      <c r="AJ72" s="29">
        <f t="shared" si="58"/>
        <v>136.14045282805458</v>
      </c>
      <c r="AL72" s="26">
        <f t="shared" si="49"/>
        <v>397.88735772973837</v>
      </c>
      <c r="AM72" s="27">
        <f t="shared" si="50"/>
        <v>150.79644737231007</v>
      </c>
      <c r="AN72" s="29">
        <f t="shared" si="51"/>
        <v>0</v>
      </c>
      <c r="AO72" s="29">
        <f t="shared" si="59"/>
        <v>247.0909103574283</v>
      </c>
      <c r="AQ72" s="26">
        <f t="shared" si="60"/>
        <v>3978.8735772973832</v>
      </c>
      <c r="AR72" s="27">
        <f t="shared" si="61"/>
        <v>100.53096491487339</v>
      </c>
      <c r="AS72" s="29">
        <f t="shared" si="62"/>
        <v>0</v>
      </c>
      <c r="AT72" s="29">
        <f t="shared" si="63"/>
        <v>3878.3426123825097</v>
      </c>
      <c r="AV72" s="26">
        <f t="shared" si="64"/>
        <v>39788.735772973836</v>
      </c>
      <c r="AW72" s="27">
        <f t="shared" si="65"/>
        <v>25.132741228718348</v>
      </c>
      <c r="AX72" s="29">
        <f t="shared" si="66"/>
        <v>0</v>
      </c>
      <c r="AY72" s="29">
        <f t="shared" si="67"/>
        <v>39763.603031745115</v>
      </c>
    </row>
    <row r="73" spans="2:51" x14ac:dyDescent="0.3">
      <c r="Q73" s="22">
        <v>50000000</v>
      </c>
      <c r="R73" s="26">
        <f t="shared" si="52"/>
        <v>3.1830988618379075E-2</v>
      </c>
      <c r="S73" s="27">
        <f t="shared" si="53"/>
        <v>1570.7963267948965</v>
      </c>
      <c r="T73" s="28">
        <f t="shared" si="54"/>
        <v>0</v>
      </c>
      <c r="U73" s="29">
        <f t="shared" si="55"/>
        <v>1570.7644958062781</v>
      </c>
      <c r="V73" s="11"/>
      <c r="W73" s="26">
        <f t="shared" si="40"/>
        <v>0.31830988618379075</v>
      </c>
      <c r="X73" s="27">
        <f t="shared" si="41"/>
        <v>408.40704496667308</v>
      </c>
      <c r="Y73" s="29">
        <f t="shared" si="42"/>
        <v>0</v>
      </c>
      <c r="Z73" s="29">
        <f t="shared" si="56"/>
        <v>408.0887350804893</v>
      </c>
      <c r="AB73" s="26">
        <f t="shared" si="43"/>
        <v>3.1830988618379075</v>
      </c>
      <c r="AC73" s="27">
        <f t="shared" si="44"/>
        <v>282.74333882308139</v>
      </c>
      <c r="AD73" s="29">
        <f t="shared" si="45"/>
        <v>0</v>
      </c>
      <c r="AE73" s="29">
        <f t="shared" si="57"/>
        <v>279.5602399612435</v>
      </c>
      <c r="AG73" s="26">
        <f t="shared" si="46"/>
        <v>31.83098861837907</v>
      </c>
      <c r="AH73" s="27">
        <f t="shared" si="47"/>
        <v>219.91148575128548</v>
      </c>
      <c r="AI73" s="29">
        <f t="shared" si="48"/>
        <v>0</v>
      </c>
      <c r="AJ73" s="29">
        <f t="shared" si="58"/>
        <v>188.0804971329064</v>
      </c>
      <c r="AL73" s="26">
        <f t="shared" si="49"/>
        <v>318.30988618379075</v>
      </c>
      <c r="AM73" s="27">
        <f t="shared" si="50"/>
        <v>188.49555921538757</v>
      </c>
      <c r="AN73" s="29">
        <f t="shared" si="51"/>
        <v>0</v>
      </c>
      <c r="AO73" s="29">
        <f t="shared" si="59"/>
        <v>129.81432696840318</v>
      </c>
      <c r="AQ73" s="26">
        <f t="shared" si="60"/>
        <v>3183.0988618379074</v>
      </c>
      <c r="AR73" s="27">
        <f t="shared" si="61"/>
        <v>125.66370614359174</v>
      </c>
      <c r="AS73" s="29">
        <f t="shared" si="62"/>
        <v>0</v>
      </c>
      <c r="AT73" s="29">
        <f t="shared" si="63"/>
        <v>3057.4351556943157</v>
      </c>
      <c r="AV73" s="26">
        <f t="shared" si="64"/>
        <v>31830.988618379073</v>
      </c>
      <c r="AW73" s="27">
        <f t="shared" si="65"/>
        <v>31.415926535897935</v>
      </c>
      <c r="AX73" s="29">
        <f t="shared" si="66"/>
        <v>0</v>
      </c>
      <c r="AY73" s="29">
        <f t="shared" si="67"/>
        <v>31799.572691843176</v>
      </c>
    </row>
    <row r="74" spans="2:51" x14ac:dyDescent="0.3">
      <c r="Q74" s="22">
        <v>60000000</v>
      </c>
      <c r="R74" s="26">
        <f t="shared" si="52"/>
        <v>2.6525823848649228E-2</v>
      </c>
      <c r="S74" s="27">
        <f t="shared" si="53"/>
        <v>1884.9555921538758</v>
      </c>
      <c r="T74" s="28">
        <f t="shared" si="54"/>
        <v>0</v>
      </c>
      <c r="U74" s="29">
        <f t="shared" si="55"/>
        <v>1884.9290663300271</v>
      </c>
      <c r="V74" s="11"/>
      <c r="W74" s="26">
        <f t="shared" si="40"/>
        <v>0.26525823848649221</v>
      </c>
      <c r="X74" s="27">
        <f t="shared" si="41"/>
        <v>490.08845396000771</v>
      </c>
      <c r="Y74" s="29">
        <f t="shared" si="42"/>
        <v>0</v>
      </c>
      <c r="Z74" s="29">
        <f t="shared" si="56"/>
        <v>489.82319572152124</v>
      </c>
      <c r="AB74" s="26">
        <f t="shared" si="43"/>
        <v>2.6525823848649224</v>
      </c>
      <c r="AC74" s="27">
        <f t="shared" si="44"/>
        <v>339.2920065876977</v>
      </c>
      <c r="AD74" s="29">
        <f t="shared" si="45"/>
        <v>0</v>
      </c>
      <c r="AE74" s="29">
        <f t="shared" si="57"/>
        <v>336.6394242028328</v>
      </c>
      <c r="AG74" s="26">
        <f t="shared" si="46"/>
        <v>26.525823848649225</v>
      </c>
      <c r="AH74" s="27">
        <f t="shared" si="47"/>
        <v>263.89378290154258</v>
      </c>
      <c r="AI74" s="29">
        <f t="shared" si="48"/>
        <v>0</v>
      </c>
      <c r="AJ74" s="29">
        <f t="shared" si="58"/>
        <v>237.36795905289335</v>
      </c>
      <c r="AL74" s="26">
        <f t="shared" si="49"/>
        <v>265.25823848649225</v>
      </c>
      <c r="AM74" s="27">
        <f t="shared" si="50"/>
        <v>226.1946710584651</v>
      </c>
      <c r="AN74" s="29">
        <f t="shared" si="51"/>
        <v>0</v>
      </c>
      <c r="AO74" s="29">
        <f t="shared" si="59"/>
        <v>39.063567428027142</v>
      </c>
      <c r="AQ74" s="26">
        <f t="shared" si="60"/>
        <v>2652.5823848649225</v>
      </c>
      <c r="AR74" s="27">
        <f t="shared" si="61"/>
        <v>150.7964473723101</v>
      </c>
      <c r="AS74" s="29">
        <f t="shared" si="62"/>
        <v>0</v>
      </c>
      <c r="AT74" s="29">
        <f t="shared" si="63"/>
        <v>2501.7859374926124</v>
      </c>
      <c r="AV74" s="26">
        <f t="shared" si="64"/>
        <v>26525.823848649223</v>
      </c>
      <c r="AW74" s="27">
        <f t="shared" si="65"/>
        <v>37.699111843077524</v>
      </c>
      <c r="AX74" s="29">
        <f t="shared" si="66"/>
        <v>0</v>
      </c>
      <c r="AY74" s="29">
        <f t="shared" si="67"/>
        <v>26488.124736806145</v>
      </c>
    </row>
    <row r="75" spans="2:51" x14ac:dyDescent="0.3">
      <c r="Q75" s="22">
        <v>70000000</v>
      </c>
      <c r="R75" s="26">
        <f t="shared" si="52"/>
        <v>2.2736420441699337E-2</v>
      </c>
      <c r="S75" s="27">
        <f t="shared" si="53"/>
        <v>2199.114857512855</v>
      </c>
      <c r="T75" s="28">
        <f t="shared" si="54"/>
        <v>0</v>
      </c>
      <c r="U75" s="29">
        <f t="shared" si="55"/>
        <v>2199.0921210924134</v>
      </c>
      <c r="V75" s="11"/>
      <c r="W75" s="26">
        <f t="shared" si="40"/>
        <v>0.22736420441699337</v>
      </c>
      <c r="X75" s="27">
        <f t="shared" si="41"/>
        <v>571.76986295334245</v>
      </c>
      <c r="Y75" s="29">
        <f t="shared" si="42"/>
        <v>0</v>
      </c>
      <c r="Z75" s="29">
        <f t="shared" si="56"/>
        <v>571.54249874892548</v>
      </c>
      <c r="AB75" s="26">
        <f t="shared" si="43"/>
        <v>2.2736420441699337</v>
      </c>
      <c r="AC75" s="27">
        <f t="shared" si="44"/>
        <v>395.84067435231395</v>
      </c>
      <c r="AD75" s="29">
        <f t="shared" si="45"/>
        <v>0</v>
      </c>
      <c r="AE75" s="29">
        <f t="shared" si="57"/>
        <v>393.56703230814401</v>
      </c>
      <c r="AG75" s="26">
        <f t="shared" si="46"/>
        <v>22.73642044169933</v>
      </c>
      <c r="AH75" s="27">
        <f t="shared" si="47"/>
        <v>307.8760800517997</v>
      </c>
      <c r="AI75" s="29">
        <f t="shared" si="48"/>
        <v>0</v>
      </c>
      <c r="AJ75" s="29">
        <f t="shared" si="58"/>
        <v>285.13965961010035</v>
      </c>
      <c r="AL75" s="26">
        <f t="shared" si="49"/>
        <v>227.36420441699335</v>
      </c>
      <c r="AM75" s="27">
        <f t="shared" si="50"/>
        <v>263.89378290154264</v>
      </c>
      <c r="AN75" s="29">
        <f t="shared" si="51"/>
        <v>0</v>
      </c>
      <c r="AO75" s="29">
        <f t="shared" si="59"/>
        <v>36.52957848454929</v>
      </c>
      <c r="AQ75" s="26">
        <f t="shared" si="60"/>
        <v>2273.6420441699333</v>
      </c>
      <c r="AR75" s="27">
        <f t="shared" si="61"/>
        <v>175.92918860102844</v>
      </c>
      <c r="AS75" s="29">
        <f t="shared" si="62"/>
        <v>0</v>
      </c>
      <c r="AT75" s="29">
        <f t="shared" si="63"/>
        <v>2097.7128555689051</v>
      </c>
      <c r="AV75" s="26">
        <f t="shared" si="64"/>
        <v>22736.420441699331</v>
      </c>
      <c r="AW75" s="27">
        <f t="shared" si="65"/>
        <v>43.982297150257111</v>
      </c>
      <c r="AX75" s="29">
        <f t="shared" si="66"/>
        <v>0</v>
      </c>
      <c r="AY75" s="29">
        <f t="shared" si="67"/>
        <v>22692.438144549073</v>
      </c>
    </row>
    <row r="76" spans="2:51" x14ac:dyDescent="0.3">
      <c r="Q76" s="22">
        <v>80000000</v>
      </c>
      <c r="R76" s="26">
        <f t="shared" si="52"/>
        <v>1.9894367886486918E-2</v>
      </c>
      <c r="S76" s="27">
        <f t="shared" si="53"/>
        <v>2513.2741228718346</v>
      </c>
      <c r="T76" s="28">
        <f t="shared" si="54"/>
        <v>0</v>
      </c>
      <c r="U76" s="29">
        <f t="shared" si="55"/>
        <v>2513.2542285039481</v>
      </c>
      <c r="V76" s="11"/>
      <c r="W76" s="26">
        <f t="shared" si="40"/>
        <v>0.19894367886486916</v>
      </c>
      <c r="X76" s="27">
        <f t="shared" si="41"/>
        <v>653.45127194667702</v>
      </c>
      <c r="Y76" s="29">
        <f t="shared" si="42"/>
        <v>0</v>
      </c>
      <c r="Z76" s="29">
        <f t="shared" si="56"/>
        <v>653.25232826781212</v>
      </c>
      <c r="AB76" s="26">
        <f t="shared" si="43"/>
        <v>1.9894367886486917</v>
      </c>
      <c r="AC76" s="27">
        <f t="shared" si="44"/>
        <v>452.38934211693027</v>
      </c>
      <c r="AD76" s="29">
        <f t="shared" si="45"/>
        <v>0</v>
      </c>
      <c r="AE76" s="29">
        <f t="shared" si="57"/>
        <v>450.39990532828159</v>
      </c>
      <c r="AG76" s="26">
        <f t="shared" si="46"/>
        <v>19.894367886486915</v>
      </c>
      <c r="AH76" s="27">
        <f t="shared" si="47"/>
        <v>351.85837720205683</v>
      </c>
      <c r="AI76" s="29">
        <f t="shared" si="48"/>
        <v>0</v>
      </c>
      <c r="AJ76" s="29">
        <f t="shared" si="58"/>
        <v>331.96400931556991</v>
      </c>
      <c r="AL76" s="26">
        <f t="shared" si="49"/>
        <v>198.94367886486918</v>
      </c>
      <c r="AM76" s="27">
        <f t="shared" si="50"/>
        <v>301.59289474462014</v>
      </c>
      <c r="AN76" s="29">
        <f t="shared" si="51"/>
        <v>0</v>
      </c>
      <c r="AO76" s="29">
        <f t="shared" si="59"/>
        <v>102.64921587975095</v>
      </c>
      <c r="AQ76" s="26">
        <f t="shared" si="60"/>
        <v>1989.4367886486916</v>
      </c>
      <c r="AR76" s="27">
        <f t="shared" si="61"/>
        <v>201.06192982974679</v>
      </c>
      <c r="AS76" s="29">
        <f t="shared" si="62"/>
        <v>0</v>
      </c>
      <c r="AT76" s="29">
        <f t="shared" si="63"/>
        <v>1788.3748588189449</v>
      </c>
      <c r="AV76" s="26">
        <f t="shared" si="64"/>
        <v>19894.367886486918</v>
      </c>
      <c r="AW76" s="27">
        <f t="shared" si="65"/>
        <v>50.265482457436697</v>
      </c>
      <c r="AX76" s="29">
        <f t="shared" si="66"/>
        <v>0</v>
      </c>
      <c r="AY76" s="29">
        <f t="shared" si="67"/>
        <v>19844.10240402948</v>
      </c>
    </row>
    <row r="77" spans="2:51" x14ac:dyDescent="0.3">
      <c r="Q77" s="22">
        <v>90000000</v>
      </c>
      <c r="R77" s="26">
        <f t="shared" si="52"/>
        <v>1.7683882565766151E-2</v>
      </c>
      <c r="S77" s="27">
        <f t="shared" si="53"/>
        <v>2827.4333882308138</v>
      </c>
      <c r="T77" s="28">
        <f t="shared" si="54"/>
        <v>0</v>
      </c>
      <c r="U77" s="29">
        <f t="shared" si="55"/>
        <v>2827.4157043482478</v>
      </c>
      <c r="V77" s="11"/>
      <c r="W77" s="26">
        <f t="shared" si="40"/>
        <v>0.17683882565766149</v>
      </c>
      <c r="X77" s="27">
        <f t="shared" si="41"/>
        <v>735.1326809400116</v>
      </c>
      <c r="Y77" s="29">
        <f t="shared" si="42"/>
        <v>0</v>
      </c>
      <c r="Z77" s="29">
        <f t="shared" si="56"/>
        <v>734.95584211435391</v>
      </c>
      <c r="AB77" s="26">
        <f t="shared" si="43"/>
        <v>1.7683882565766149</v>
      </c>
      <c r="AC77" s="27">
        <f t="shared" si="44"/>
        <v>508.93800988154658</v>
      </c>
      <c r="AD77" s="29">
        <f t="shared" si="45"/>
        <v>0</v>
      </c>
      <c r="AE77" s="29">
        <f t="shared" si="57"/>
        <v>507.16962162496998</v>
      </c>
      <c r="AG77" s="26">
        <f t="shared" si="46"/>
        <v>17.683882565766147</v>
      </c>
      <c r="AH77" s="27">
        <f t="shared" si="47"/>
        <v>395.8406743523139</v>
      </c>
      <c r="AI77" s="29">
        <f t="shared" si="48"/>
        <v>0</v>
      </c>
      <c r="AJ77" s="29">
        <f t="shared" si="58"/>
        <v>378.15679178654773</v>
      </c>
      <c r="AL77" s="26">
        <f t="shared" si="49"/>
        <v>176.83882565766152</v>
      </c>
      <c r="AM77" s="27">
        <f t="shared" si="50"/>
        <v>339.29200658769764</v>
      </c>
      <c r="AN77" s="29">
        <f t="shared" si="51"/>
        <v>0</v>
      </c>
      <c r="AO77" s="29">
        <f t="shared" si="59"/>
        <v>162.45318093003613</v>
      </c>
      <c r="AQ77" s="26">
        <f t="shared" si="60"/>
        <v>1768.3882565766148</v>
      </c>
      <c r="AR77" s="27">
        <f t="shared" si="61"/>
        <v>226.19467105846513</v>
      </c>
      <c r="AS77" s="29">
        <f t="shared" si="62"/>
        <v>0</v>
      </c>
      <c r="AT77" s="29">
        <f t="shared" si="63"/>
        <v>1542.1935855181496</v>
      </c>
      <c r="AV77" s="26">
        <f t="shared" si="64"/>
        <v>17683.882565766147</v>
      </c>
      <c r="AW77" s="27">
        <f t="shared" si="65"/>
        <v>56.548667764616283</v>
      </c>
      <c r="AX77" s="29">
        <f t="shared" si="66"/>
        <v>0</v>
      </c>
      <c r="AY77" s="29">
        <f t="shared" si="67"/>
        <v>17627.333898001532</v>
      </c>
    </row>
    <row r="78" spans="2:51" x14ac:dyDescent="0.3">
      <c r="Q78" s="22">
        <v>100000000</v>
      </c>
      <c r="R78" s="26">
        <f t="shared" si="52"/>
        <v>1.5915494309189537E-2</v>
      </c>
      <c r="S78" s="27">
        <f t="shared" si="53"/>
        <v>3141.5926535897929</v>
      </c>
      <c r="T78" s="28">
        <f t="shared" si="54"/>
        <v>0</v>
      </c>
      <c r="U78" s="29">
        <f t="shared" si="55"/>
        <v>3141.5767380954835</v>
      </c>
      <c r="V78" s="11"/>
      <c r="W78" s="26">
        <f t="shared" si="40"/>
        <v>0.15915494309189537</v>
      </c>
      <c r="X78" s="27">
        <f t="shared" si="41"/>
        <v>816.81408993334617</v>
      </c>
      <c r="Y78" s="29">
        <f t="shared" si="42"/>
        <v>0</v>
      </c>
      <c r="Z78" s="29">
        <f t="shared" si="56"/>
        <v>816.65493499025422</v>
      </c>
      <c r="AB78" s="26">
        <f t="shared" si="43"/>
        <v>1.5915494309189537</v>
      </c>
      <c r="AC78" s="27">
        <f t="shared" si="44"/>
        <v>565.48667764616278</v>
      </c>
      <c r="AD78" s="29">
        <f t="shared" si="45"/>
        <v>0</v>
      </c>
      <c r="AE78" s="29">
        <f t="shared" si="57"/>
        <v>563.89512821524386</v>
      </c>
      <c r="AG78" s="26">
        <f t="shared" si="46"/>
        <v>15.915494309189535</v>
      </c>
      <c r="AH78" s="27">
        <f t="shared" si="47"/>
        <v>439.82297150257097</v>
      </c>
      <c r="AI78" s="29">
        <f t="shared" si="48"/>
        <v>0</v>
      </c>
      <c r="AJ78" s="29">
        <f t="shared" si="58"/>
        <v>423.90747719338145</v>
      </c>
      <c r="AL78" s="26">
        <f t="shared" si="49"/>
        <v>159.15494309189538</v>
      </c>
      <c r="AM78" s="27">
        <f t="shared" si="50"/>
        <v>376.99111843077515</v>
      </c>
      <c r="AN78" s="29">
        <f t="shared" si="51"/>
        <v>0</v>
      </c>
      <c r="AO78" s="29">
        <f t="shared" si="59"/>
        <v>217.83617533887977</v>
      </c>
      <c r="AQ78" s="26">
        <f t="shared" si="60"/>
        <v>1591.5494309189537</v>
      </c>
      <c r="AR78" s="27">
        <f t="shared" si="61"/>
        <v>251.32741228718348</v>
      </c>
      <c r="AS78" s="29">
        <f t="shared" si="62"/>
        <v>0</v>
      </c>
      <c r="AT78" s="29">
        <f t="shared" si="63"/>
        <v>1340.2220186317702</v>
      </c>
      <c r="AV78" s="26">
        <f t="shared" si="64"/>
        <v>15915.494309189537</v>
      </c>
      <c r="AW78" s="27">
        <f t="shared" si="65"/>
        <v>62.831853071795869</v>
      </c>
      <c r="AX78" s="29">
        <f t="shared" si="66"/>
        <v>0</v>
      </c>
      <c r="AY78" s="29">
        <f t="shared" si="67"/>
        <v>15852.662456117741</v>
      </c>
    </row>
    <row r="79" spans="2:51" x14ac:dyDescent="0.3">
      <c r="Q79" s="22">
        <v>200000000</v>
      </c>
      <c r="R79" s="26">
        <f t="shared" si="52"/>
        <v>7.9577471545947687E-3</v>
      </c>
      <c r="S79" s="27">
        <f t="shared" si="53"/>
        <v>6283.1853071795858</v>
      </c>
      <c r="T79" s="28">
        <f t="shared" si="54"/>
        <v>0</v>
      </c>
      <c r="U79" s="29">
        <f t="shared" si="55"/>
        <v>6283.1773494324316</v>
      </c>
      <c r="V79" s="11"/>
      <c r="W79" s="26">
        <f t="shared" si="40"/>
        <v>7.9577471545947687E-2</v>
      </c>
      <c r="X79" s="27">
        <f t="shared" si="41"/>
        <v>1633.6281798666923</v>
      </c>
      <c r="Y79" s="29">
        <f t="shared" si="42"/>
        <v>0</v>
      </c>
      <c r="Z79" s="29">
        <f t="shared" si="56"/>
        <v>1633.5486023951464</v>
      </c>
      <c r="AB79" s="26">
        <f t="shared" si="43"/>
        <v>0.79577471545947687</v>
      </c>
      <c r="AC79" s="27">
        <f t="shared" si="44"/>
        <v>1130.9733552923256</v>
      </c>
      <c r="AD79" s="29">
        <f t="shared" si="45"/>
        <v>0</v>
      </c>
      <c r="AE79" s="29">
        <f t="shared" si="57"/>
        <v>1130.1775805768661</v>
      </c>
      <c r="AG79" s="26">
        <f t="shared" si="46"/>
        <v>7.9577471545947676</v>
      </c>
      <c r="AH79" s="27">
        <f t="shared" si="47"/>
        <v>879.64594300514193</v>
      </c>
      <c r="AI79" s="29">
        <f t="shared" si="48"/>
        <v>0</v>
      </c>
      <c r="AJ79" s="29">
        <f t="shared" si="58"/>
        <v>871.68819585054712</v>
      </c>
      <c r="AL79" s="26">
        <f t="shared" si="49"/>
        <v>79.577471545947688</v>
      </c>
      <c r="AM79" s="27">
        <f t="shared" si="50"/>
        <v>753.98223686155029</v>
      </c>
      <c r="AN79" s="29">
        <f t="shared" si="51"/>
        <v>0</v>
      </c>
      <c r="AO79" s="29">
        <f t="shared" si="59"/>
        <v>674.40476531560262</v>
      </c>
      <c r="AQ79" s="26">
        <f t="shared" si="60"/>
        <v>795.77471545947685</v>
      </c>
      <c r="AR79" s="27">
        <f t="shared" si="61"/>
        <v>502.65482457436696</v>
      </c>
      <c r="AS79" s="29">
        <f t="shared" si="62"/>
        <v>0</v>
      </c>
      <c r="AT79" s="29">
        <f t="shared" si="63"/>
        <v>293.1198908851099</v>
      </c>
      <c r="AV79" s="26">
        <f t="shared" si="64"/>
        <v>7957.7471545947683</v>
      </c>
      <c r="AW79" s="27">
        <f t="shared" si="65"/>
        <v>125.66370614359174</v>
      </c>
      <c r="AX79" s="29">
        <f t="shared" si="66"/>
        <v>0</v>
      </c>
      <c r="AY79" s="29">
        <f t="shared" si="67"/>
        <v>7832.083448451177</v>
      </c>
    </row>
    <row r="80" spans="2:51" x14ac:dyDescent="0.3">
      <c r="Q80" s="22">
        <v>300000000</v>
      </c>
      <c r="R80" s="26">
        <f t="shared" si="52"/>
        <v>5.3051647697298452E-3</v>
      </c>
      <c r="S80" s="27">
        <f t="shared" si="53"/>
        <v>9424.7779607693792</v>
      </c>
      <c r="T80" s="28">
        <f t="shared" si="54"/>
        <v>0</v>
      </c>
      <c r="U80" s="29">
        <f t="shared" si="55"/>
        <v>9424.7726556046091</v>
      </c>
      <c r="V80" s="11"/>
      <c r="W80" s="26">
        <f t="shared" si="40"/>
        <v>5.3051647697298455E-2</v>
      </c>
      <c r="X80" s="27">
        <f t="shared" si="41"/>
        <v>2450.4422698000385</v>
      </c>
      <c r="Y80" s="29">
        <f t="shared" si="42"/>
        <v>0</v>
      </c>
      <c r="Z80" s="29">
        <f t="shared" si="56"/>
        <v>2450.3892181523411</v>
      </c>
      <c r="AB80" s="26">
        <f t="shared" si="43"/>
        <v>0.53051647697298443</v>
      </c>
      <c r="AC80" s="27">
        <f t="shared" si="44"/>
        <v>1696.4600329384884</v>
      </c>
      <c r="AD80" s="29">
        <f t="shared" si="45"/>
        <v>0</v>
      </c>
      <c r="AE80" s="29">
        <f t="shared" si="57"/>
        <v>1695.9295164615155</v>
      </c>
      <c r="AG80" s="26">
        <f t="shared" si="46"/>
        <v>5.3051647697298447</v>
      </c>
      <c r="AH80" s="27">
        <f t="shared" si="47"/>
        <v>1319.468914507713</v>
      </c>
      <c r="AI80" s="29">
        <f t="shared" si="48"/>
        <v>0</v>
      </c>
      <c r="AJ80" s="29">
        <f t="shared" si="58"/>
        <v>1314.1637497379832</v>
      </c>
      <c r="AL80" s="26">
        <f t="shared" si="49"/>
        <v>53.051647697298449</v>
      </c>
      <c r="AM80" s="27">
        <f t="shared" si="50"/>
        <v>1130.9733552923256</v>
      </c>
      <c r="AN80" s="29">
        <f t="shared" si="51"/>
        <v>0</v>
      </c>
      <c r="AO80" s="29">
        <f t="shared" si="59"/>
        <v>1077.9217075950271</v>
      </c>
      <c r="AP80" s="11"/>
      <c r="AQ80" s="26">
        <f t="shared" si="60"/>
        <v>530.51647697298449</v>
      </c>
      <c r="AR80" s="27">
        <f t="shared" si="61"/>
        <v>753.9822368615504</v>
      </c>
      <c r="AS80" s="29">
        <f t="shared" si="62"/>
        <v>0</v>
      </c>
      <c r="AT80" s="29">
        <f t="shared" si="63"/>
        <v>223.46575988856591</v>
      </c>
      <c r="AV80" s="26">
        <f t="shared" si="64"/>
        <v>5305.1647697298449</v>
      </c>
      <c r="AW80" s="27">
        <f t="shared" si="65"/>
        <v>188.4955592153876</v>
      </c>
      <c r="AX80" s="29">
        <f t="shared" si="66"/>
        <v>0</v>
      </c>
      <c r="AY80" s="29">
        <f t="shared" si="67"/>
        <v>5116.6692105144575</v>
      </c>
    </row>
    <row r="81" spans="17:51" x14ac:dyDescent="0.3">
      <c r="Q81" s="22">
        <v>400000000</v>
      </c>
      <c r="R81" s="26">
        <f t="shared" si="52"/>
        <v>3.9788735772973843E-3</v>
      </c>
      <c r="S81" s="27">
        <f t="shared" si="53"/>
        <v>12566.370614359172</v>
      </c>
      <c r="T81" s="28">
        <f t="shared" si="54"/>
        <v>0</v>
      </c>
      <c r="U81" s="29">
        <f t="shared" si="55"/>
        <v>12566.366635485594</v>
      </c>
      <c r="V81" s="11"/>
      <c r="W81" s="26">
        <f t="shared" si="40"/>
        <v>3.9788735772973843E-2</v>
      </c>
      <c r="X81" s="27">
        <f t="shared" si="41"/>
        <v>3267.2563597333847</v>
      </c>
      <c r="Y81" s="29">
        <f t="shared" si="42"/>
        <v>0</v>
      </c>
      <c r="Z81" s="29">
        <f t="shared" si="56"/>
        <v>3267.2165709976116</v>
      </c>
      <c r="AB81" s="26">
        <f t="shared" si="43"/>
        <v>0.39788735772973843</v>
      </c>
      <c r="AC81" s="27">
        <f t="shared" si="44"/>
        <v>2261.9467105846511</v>
      </c>
      <c r="AD81" s="29">
        <f t="shared" si="45"/>
        <v>0</v>
      </c>
      <c r="AE81" s="29">
        <f t="shared" si="57"/>
        <v>2261.5488232269213</v>
      </c>
      <c r="AG81" s="26">
        <f t="shared" si="46"/>
        <v>3.9788735772973838</v>
      </c>
      <c r="AH81" s="27">
        <f t="shared" si="47"/>
        <v>1759.2918860102839</v>
      </c>
      <c r="AI81" s="29">
        <f t="shared" si="48"/>
        <v>0</v>
      </c>
      <c r="AJ81" s="29">
        <f t="shared" si="58"/>
        <v>1755.3130124329864</v>
      </c>
      <c r="AL81" s="26">
        <f t="shared" si="49"/>
        <v>39.788735772973844</v>
      </c>
      <c r="AM81" s="27">
        <f t="shared" si="50"/>
        <v>1507.9644737231006</v>
      </c>
      <c r="AN81" s="29">
        <f t="shared" si="51"/>
        <v>0</v>
      </c>
      <c r="AO81" s="29">
        <f t="shared" si="59"/>
        <v>1468.1757379501266</v>
      </c>
      <c r="AP81" s="11"/>
      <c r="AQ81" s="26">
        <f t="shared" si="60"/>
        <v>397.88735772973843</v>
      </c>
      <c r="AR81" s="27">
        <f t="shared" si="61"/>
        <v>1005.3096491487339</v>
      </c>
      <c r="AS81" s="29">
        <f t="shared" si="62"/>
        <v>0</v>
      </c>
      <c r="AT81" s="29">
        <f t="shared" si="63"/>
        <v>607.42229141899543</v>
      </c>
      <c r="AV81" s="26">
        <f t="shared" si="64"/>
        <v>3978.8735772973841</v>
      </c>
      <c r="AW81" s="27">
        <f t="shared" si="65"/>
        <v>251.32741228718348</v>
      </c>
      <c r="AX81" s="29">
        <f t="shared" si="66"/>
        <v>0</v>
      </c>
      <c r="AY81" s="29">
        <f t="shared" si="67"/>
        <v>3727.5461650102006</v>
      </c>
    </row>
    <row r="82" spans="17:51" x14ac:dyDescent="0.3">
      <c r="Q82" s="22">
        <v>500000000</v>
      </c>
      <c r="R82" s="26">
        <f t="shared" si="52"/>
        <v>3.1830988618379071E-3</v>
      </c>
      <c r="S82" s="27">
        <f t="shared" si="53"/>
        <v>15707.963267948966</v>
      </c>
      <c r="T82" s="28">
        <f t="shared" si="54"/>
        <v>0</v>
      </c>
      <c r="U82" s="29">
        <f t="shared" si="55"/>
        <v>15707.960084850105</v>
      </c>
      <c r="V82" s="11"/>
      <c r="W82" s="26">
        <f t="shared" si="40"/>
        <v>3.1830988618379068E-2</v>
      </c>
      <c r="X82" s="27">
        <f t="shared" si="41"/>
        <v>4084.0704496667308</v>
      </c>
      <c r="Y82" s="29">
        <f t="shared" si="42"/>
        <v>0</v>
      </c>
      <c r="Z82" s="29">
        <f t="shared" si="56"/>
        <v>4084.0386186781125</v>
      </c>
      <c r="AB82" s="26">
        <f t="shared" si="43"/>
        <v>0.31830988618379069</v>
      </c>
      <c r="AC82" s="27">
        <f t="shared" si="44"/>
        <v>2827.4333882308142</v>
      </c>
      <c r="AD82" s="29">
        <f t="shared" si="45"/>
        <v>0</v>
      </c>
      <c r="AE82" s="29">
        <f t="shared" si="57"/>
        <v>2827.1150783446305</v>
      </c>
      <c r="AG82" s="26">
        <f t="shared" si="46"/>
        <v>3.1830988618379066</v>
      </c>
      <c r="AH82" s="27">
        <f t="shared" si="47"/>
        <v>2199.114857512855</v>
      </c>
      <c r="AI82" s="29">
        <f t="shared" si="48"/>
        <v>0</v>
      </c>
      <c r="AJ82" s="29">
        <f t="shared" si="58"/>
        <v>2195.9317586510169</v>
      </c>
      <c r="AL82" s="26">
        <f t="shared" si="49"/>
        <v>31.830988618379067</v>
      </c>
      <c r="AM82" s="27">
        <f t="shared" si="50"/>
        <v>1884.9555921538758</v>
      </c>
      <c r="AN82" s="29">
        <f t="shared" si="51"/>
        <v>0</v>
      </c>
      <c r="AO82" s="29">
        <f t="shared" si="59"/>
        <v>1853.1246035354968</v>
      </c>
      <c r="AP82" s="11"/>
      <c r="AQ82" s="26">
        <f t="shared" si="60"/>
        <v>318.30988618379064</v>
      </c>
      <c r="AR82" s="27">
        <f t="shared" si="61"/>
        <v>1256.6370614359175</v>
      </c>
      <c r="AS82" s="29">
        <f t="shared" si="62"/>
        <v>0</v>
      </c>
      <c r="AT82" s="29">
        <f t="shared" si="63"/>
        <v>938.32717525212684</v>
      </c>
      <c r="AV82" s="26">
        <f t="shared" si="64"/>
        <v>3183.098861837907</v>
      </c>
      <c r="AW82" s="27">
        <f t="shared" si="65"/>
        <v>314.15926535897938</v>
      </c>
      <c r="AX82" s="29">
        <f t="shared" si="66"/>
        <v>0</v>
      </c>
      <c r="AY82" s="29">
        <f t="shared" si="67"/>
        <v>2868.9395964789273</v>
      </c>
    </row>
    <row r="83" spans="17:51" x14ac:dyDescent="0.3">
      <c r="Q83" s="22">
        <v>600000000</v>
      </c>
      <c r="R83" s="26">
        <f t="shared" si="52"/>
        <v>2.6525823848649226E-3</v>
      </c>
      <c r="S83" s="27">
        <f t="shared" si="53"/>
        <v>18849.555921538758</v>
      </c>
      <c r="T83" s="28">
        <f t="shared" si="54"/>
        <v>0</v>
      </c>
      <c r="U83" s="29">
        <f t="shared" si="55"/>
        <v>18849.553268956373</v>
      </c>
      <c r="V83" s="11"/>
      <c r="W83" s="26">
        <f t="shared" si="40"/>
        <v>2.6525823848649228E-2</v>
      </c>
      <c r="X83" s="27">
        <f t="shared" si="41"/>
        <v>4900.884539600077</v>
      </c>
      <c r="Y83" s="29">
        <f t="shared" si="42"/>
        <v>0</v>
      </c>
      <c r="Z83" s="29">
        <f t="shared" si="56"/>
        <v>4900.8580137762283</v>
      </c>
      <c r="AB83" s="26">
        <f t="shared" si="43"/>
        <v>0.26525823848649221</v>
      </c>
      <c r="AC83" s="27">
        <f t="shared" si="44"/>
        <v>3392.9200658769769</v>
      </c>
      <c r="AD83" s="29">
        <f t="shared" si="45"/>
        <v>0</v>
      </c>
      <c r="AE83" s="29">
        <f t="shared" si="57"/>
        <v>3392.6548076384902</v>
      </c>
      <c r="AG83" s="26">
        <f t="shared" si="46"/>
        <v>2.6525823848649224</v>
      </c>
      <c r="AH83" s="27">
        <f t="shared" si="47"/>
        <v>2638.9378290154259</v>
      </c>
      <c r="AI83" s="29">
        <f t="shared" si="48"/>
        <v>0</v>
      </c>
      <c r="AJ83" s="29">
        <f t="shared" si="58"/>
        <v>2636.2852466305608</v>
      </c>
      <c r="AL83" s="26">
        <f t="shared" si="49"/>
        <v>26.525823848649225</v>
      </c>
      <c r="AM83" s="27">
        <f t="shared" si="50"/>
        <v>2261.9467105846511</v>
      </c>
      <c r="AN83" s="29">
        <f t="shared" si="51"/>
        <v>0</v>
      </c>
      <c r="AO83" s="29">
        <f t="shared" si="59"/>
        <v>2235.4208867360021</v>
      </c>
      <c r="AP83" s="11"/>
      <c r="AQ83" s="26">
        <f t="shared" si="60"/>
        <v>265.25823848649225</v>
      </c>
      <c r="AR83" s="27">
        <f t="shared" si="61"/>
        <v>1507.9644737231008</v>
      </c>
      <c r="AS83" s="29">
        <f t="shared" si="62"/>
        <v>0</v>
      </c>
      <c r="AT83" s="29">
        <f t="shared" si="63"/>
        <v>1242.7062352366086</v>
      </c>
      <c r="AV83" s="26">
        <f t="shared" si="64"/>
        <v>2652.5823848649225</v>
      </c>
      <c r="AW83" s="27">
        <f t="shared" si="65"/>
        <v>376.9911184307752</v>
      </c>
      <c r="AX83" s="29">
        <f t="shared" si="66"/>
        <v>0</v>
      </c>
      <c r="AY83" s="29">
        <f t="shared" si="67"/>
        <v>2275.5912664341472</v>
      </c>
    </row>
    <row r="84" spans="17:51" x14ac:dyDescent="0.3">
      <c r="Q84" s="22">
        <v>700000000</v>
      </c>
      <c r="R84" s="26">
        <f t="shared" si="52"/>
        <v>2.273642044169934E-3</v>
      </c>
      <c r="S84" s="27">
        <f t="shared" si="53"/>
        <v>21991.148575128551</v>
      </c>
      <c r="T84" s="28">
        <f t="shared" si="54"/>
        <v>0</v>
      </c>
      <c r="U84" s="29">
        <f t="shared" si="55"/>
        <v>21991.146301486508</v>
      </c>
      <c r="V84" s="11"/>
      <c r="W84" s="26">
        <f t="shared" si="40"/>
        <v>2.2736420441699337E-2</v>
      </c>
      <c r="X84" s="27">
        <f t="shared" si="41"/>
        <v>5717.6986295334227</v>
      </c>
      <c r="Y84" s="29">
        <f t="shared" si="42"/>
        <v>0</v>
      </c>
      <c r="Z84" s="29">
        <f t="shared" si="56"/>
        <v>5717.6758931129807</v>
      </c>
      <c r="AB84" s="26">
        <f t="shared" si="43"/>
        <v>0.22736420441699337</v>
      </c>
      <c r="AC84" s="27">
        <f t="shared" si="44"/>
        <v>3958.4067435231395</v>
      </c>
      <c r="AD84" s="29">
        <f t="shared" si="45"/>
        <v>0</v>
      </c>
      <c r="AE84" s="29">
        <f t="shared" si="57"/>
        <v>3958.1793793187226</v>
      </c>
      <c r="AG84" s="26">
        <f t="shared" si="46"/>
        <v>2.2736420441699337</v>
      </c>
      <c r="AH84" s="27">
        <f t="shared" si="47"/>
        <v>3078.7608005179968</v>
      </c>
      <c r="AI84" s="29">
        <f t="shared" si="48"/>
        <v>0</v>
      </c>
      <c r="AJ84" s="29">
        <f t="shared" si="58"/>
        <v>3076.4871584738271</v>
      </c>
      <c r="AL84" s="26">
        <f t="shared" si="49"/>
        <v>22.736420441699334</v>
      </c>
      <c r="AM84" s="27">
        <f t="shared" si="50"/>
        <v>2638.9378290154259</v>
      </c>
      <c r="AN84" s="29">
        <f t="shared" si="51"/>
        <v>0</v>
      </c>
      <c r="AO84" s="29">
        <f t="shared" si="59"/>
        <v>2616.2014085737264</v>
      </c>
      <c r="AP84" s="11"/>
      <c r="AQ84" s="26">
        <f t="shared" si="60"/>
        <v>227.3642044169934</v>
      </c>
      <c r="AR84" s="27">
        <f t="shared" si="61"/>
        <v>1759.2918860102843</v>
      </c>
      <c r="AS84" s="29">
        <f t="shared" si="62"/>
        <v>0</v>
      </c>
      <c r="AT84" s="29">
        <f t="shared" si="63"/>
        <v>1531.9276815932908</v>
      </c>
      <c r="AV84" s="26">
        <f t="shared" si="64"/>
        <v>2273.6420441699338</v>
      </c>
      <c r="AW84" s="27">
        <f t="shared" si="65"/>
        <v>439.82297150257108</v>
      </c>
      <c r="AX84" s="29">
        <f t="shared" si="66"/>
        <v>0</v>
      </c>
      <c r="AY84" s="29">
        <f t="shared" si="67"/>
        <v>1833.8190726673627</v>
      </c>
    </row>
    <row r="85" spans="17:51" x14ac:dyDescent="0.3">
      <c r="Q85" s="22">
        <v>800000000</v>
      </c>
      <c r="R85" s="26">
        <f t="shared" si="52"/>
        <v>1.9894367886486922E-3</v>
      </c>
      <c r="S85" s="27">
        <f t="shared" si="53"/>
        <v>25132.741228718343</v>
      </c>
      <c r="T85" s="28">
        <f t="shared" si="54"/>
        <v>0</v>
      </c>
      <c r="U85" s="29">
        <f t="shared" si="55"/>
        <v>25132.739239281556</v>
      </c>
      <c r="V85" s="11"/>
      <c r="W85" s="26">
        <f t="shared" si="40"/>
        <v>1.9894367886486922E-2</v>
      </c>
      <c r="X85" s="27">
        <f t="shared" si="41"/>
        <v>6534.5127194667693</v>
      </c>
      <c r="Y85" s="29">
        <f t="shared" si="42"/>
        <v>0</v>
      </c>
      <c r="Z85" s="29">
        <f t="shared" si="56"/>
        <v>6534.4928250988833</v>
      </c>
      <c r="AB85" s="26">
        <f t="shared" si="43"/>
        <v>0.19894367886486922</v>
      </c>
      <c r="AC85" s="27">
        <f t="shared" si="44"/>
        <v>4523.8934211693022</v>
      </c>
      <c r="AD85" s="29">
        <f t="shared" si="45"/>
        <v>0</v>
      </c>
      <c r="AE85" s="29">
        <f t="shared" si="57"/>
        <v>4523.6944774904377</v>
      </c>
      <c r="AG85" s="26">
        <f t="shared" si="46"/>
        <v>1.9894367886486919</v>
      </c>
      <c r="AH85" s="27">
        <f t="shared" si="47"/>
        <v>3518.5837720205677</v>
      </c>
      <c r="AI85" s="29">
        <f t="shared" si="48"/>
        <v>0</v>
      </c>
      <c r="AJ85" s="29">
        <f t="shared" si="58"/>
        <v>3516.5943352319191</v>
      </c>
      <c r="AL85" s="26">
        <f t="shared" si="49"/>
        <v>19.894367886486922</v>
      </c>
      <c r="AM85" s="27">
        <f t="shared" si="50"/>
        <v>3015.9289474462012</v>
      </c>
      <c r="AN85" s="29">
        <f t="shared" si="51"/>
        <v>0</v>
      </c>
      <c r="AO85" s="29">
        <f t="shared" si="59"/>
        <v>2996.0345795597141</v>
      </c>
      <c r="AP85" s="11"/>
      <c r="AQ85" s="26">
        <f t="shared" si="60"/>
        <v>198.94367886486921</v>
      </c>
      <c r="AR85" s="27">
        <f t="shared" si="61"/>
        <v>2010.6192982974678</v>
      </c>
      <c r="AS85" s="29">
        <f t="shared" si="62"/>
        <v>0</v>
      </c>
      <c r="AT85" s="29">
        <f t="shared" si="63"/>
        <v>1811.6756194325985</v>
      </c>
      <c r="AV85" s="26">
        <f t="shared" si="64"/>
        <v>1989.4367886486921</v>
      </c>
      <c r="AW85" s="27">
        <f t="shared" si="65"/>
        <v>502.65482457436696</v>
      </c>
      <c r="AX85" s="29">
        <f t="shared" si="66"/>
        <v>0</v>
      </c>
      <c r="AY85" s="29">
        <f t="shared" si="67"/>
        <v>1486.7819640743251</v>
      </c>
    </row>
    <row r="86" spans="17:51" x14ac:dyDescent="0.3">
      <c r="Q86" s="22">
        <v>900000000</v>
      </c>
      <c r="R86" s="26">
        <f t="shared" si="52"/>
        <v>1.7683882565766149E-3</v>
      </c>
      <c r="S86" s="27">
        <f t="shared" si="53"/>
        <v>28274.333882308143</v>
      </c>
      <c r="T86" s="28">
        <f t="shared" si="54"/>
        <v>0</v>
      </c>
      <c r="U86" s="29">
        <f t="shared" si="55"/>
        <v>28274.332113919885</v>
      </c>
      <c r="V86" s="11"/>
      <c r="W86" s="26">
        <f t="shared" si="40"/>
        <v>1.7683882565766147E-2</v>
      </c>
      <c r="X86" s="27">
        <f t="shared" si="41"/>
        <v>7351.3268094001169</v>
      </c>
      <c r="Y86" s="29">
        <f t="shared" si="42"/>
        <v>0</v>
      </c>
      <c r="Z86" s="29">
        <f t="shared" si="56"/>
        <v>7351.3091255175514</v>
      </c>
      <c r="AB86" s="26">
        <f t="shared" si="43"/>
        <v>0.17683882565766149</v>
      </c>
      <c r="AC86" s="27">
        <f t="shared" si="44"/>
        <v>5089.3800988154653</v>
      </c>
      <c r="AD86" s="29">
        <f t="shared" si="45"/>
        <v>0</v>
      </c>
      <c r="AE86" s="29">
        <f t="shared" si="57"/>
        <v>5089.2032599898075</v>
      </c>
      <c r="AG86" s="26">
        <f t="shared" si="46"/>
        <v>1.7683882565766145</v>
      </c>
      <c r="AH86" s="27">
        <f t="shared" si="47"/>
        <v>3958.4067435231391</v>
      </c>
      <c r="AI86" s="29">
        <f t="shared" si="48"/>
        <v>0</v>
      </c>
      <c r="AJ86" s="29">
        <f t="shared" si="58"/>
        <v>3956.6383552665625</v>
      </c>
      <c r="AL86" s="26">
        <f t="shared" si="49"/>
        <v>17.683882565766147</v>
      </c>
      <c r="AM86" s="27">
        <f t="shared" si="50"/>
        <v>3392.9200658769769</v>
      </c>
      <c r="AN86" s="29">
        <f t="shared" si="51"/>
        <v>0</v>
      </c>
      <c r="AO86" s="29">
        <f t="shared" si="59"/>
        <v>3375.2361833112109</v>
      </c>
      <c r="AP86" s="11"/>
      <c r="AQ86" s="26">
        <f t="shared" si="60"/>
        <v>176.83882565766149</v>
      </c>
      <c r="AR86" s="27">
        <f t="shared" si="61"/>
        <v>2261.9467105846516</v>
      </c>
      <c r="AS86" s="29">
        <f t="shared" si="62"/>
        <v>0</v>
      </c>
      <c r="AT86" s="29">
        <f t="shared" si="63"/>
        <v>2085.1078849269902</v>
      </c>
      <c r="AV86" s="26">
        <f t="shared" si="64"/>
        <v>1768.3882565766148</v>
      </c>
      <c r="AW86" s="27">
        <f t="shared" si="65"/>
        <v>565.48667764616289</v>
      </c>
      <c r="AX86" s="29">
        <f t="shared" si="66"/>
        <v>0</v>
      </c>
      <c r="AY86" s="29">
        <f t="shared" si="67"/>
        <v>1202.9015789304519</v>
      </c>
    </row>
    <row r="87" spans="17:51" x14ac:dyDescent="0.3">
      <c r="Q87" s="22">
        <v>1000000000</v>
      </c>
      <c r="R87" s="26">
        <f t="shared" si="52"/>
        <v>1.5915494309189536E-3</v>
      </c>
      <c r="S87" s="27">
        <f t="shared" si="53"/>
        <v>31415.926535897932</v>
      </c>
      <c r="T87" s="28">
        <f t="shared" si="54"/>
        <v>0</v>
      </c>
      <c r="U87" s="29">
        <f t="shared" si="55"/>
        <v>31415.924944348502</v>
      </c>
      <c r="V87" s="11"/>
      <c r="W87" s="26">
        <f t="shared" si="40"/>
        <v>1.5915494309189534E-2</v>
      </c>
      <c r="X87" s="27">
        <f t="shared" si="41"/>
        <v>8168.1408993334617</v>
      </c>
      <c r="Y87" s="29">
        <f t="shared" si="42"/>
        <v>0</v>
      </c>
      <c r="Z87" s="29">
        <f t="shared" si="56"/>
        <v>8168.1249838391523</v>
      </c>
      <c r="AB87" s="26">
        <f t="shared" si="43"/>
        <v>0.15915494309189535</v>
      </c>
      <c r="AC87" s="27">
        <f t="shared" si="44"/>
        <v>5654.8667764616284</v>
      </c>
      <c r="AD87" s="29">
        <f t="shared" si="45"/>
        <v>0</v>
      </c>
      <c r="AE87" s="29">
        <f t="shared" si="57"/>
        <v>5654.7076215185361</v>
      </c>
      <c r="AG87" s="26">
        <f t="shared" si="46"/>
        <v>1.5915494309189533</v>
      </c>
      <c r="AH87" s="27">
        <f t="shared" si="47"/>
        <v>4398.22971502571</v>
      </c>
      <c r="AI87" s="29">
        <f t="shared" si="48"/>
        <v>0</v>
      </c>
      <c r="AJ87" s="29">
        <f t="shared" si="58"/>
        <v>4396.6381655947907</v>
      </c>
      <c r="AL87" s="26">
        <f t="shared" si="49"/>
        <v>15.915494309189533</v>
      </c>
      <c r="AM87" s="27">
        <f t="shared" si="50"/>
        <v>3769.9111843077517</v>
      </c>
      <c r="AN87" s="29">
        <f t="shared" si="51"/>
        <v>0</v>
      </c>
      <c r="AO87" s="29">
        <f t="shared" si="59"/>
        <v>3753.9956899985623</v>
      </c>
      <c r="AP87" s="11"/>
      <c r="AQ87" s="26">
        <f t="shared" si="60"/>
        <v>159.15494309189532</v>
      </c>
      <c r="AR87" s="27">
        <f t="shared" si="61"/>
        <v>2513.2741228718351</v>
      </c>
      <c r="AS87" s="29">
        <f t="shared" si="62"/>
        <v>0</v>
      </c>
      <c r="AT87" s="29">
        <f t="shared" si="63"/>
        <v>2354.1191797799397</v>
      </c>
      <c r="AV87" s="26">
        <f t="shared" si="64"/>
        <v>1591.5494309189535</v>
      </c>
      <c r="AW87" s="27">
        <f t="shared" si="65"/>
        <v>628.31853071795877</v>
      </c>
      <c r="AX87" s="29">
        <f t="shared" si="66"/>
        <v>0</v>
      </c>
      <c r="AY87" s="29">
        <f t="shared" si="67"/>
        <v>963.23090020099471</v>
      </c>
    </row>
    <row r="88" spans="17:51" x14ac:dyDescent="0.3">
      <c r="Q88" s="11"/>
    </row>
    <row r="89" spans="17:51" x14ac:dyDescent="0.3">
      <c r="Q89" s="11"/>
    </row>
    <row r="90" spans="17:51" x14ac:dyDescent="0.3">
      <c r="Q90" s="11"/>
    </row>
    <row r="91" spans="17:51" x14ac:dyDescent="0.3">
      <c r="Q91" s="11"/>
    </row>
    <row r="92" spans="17:51" x14ac:dyDescent="0.3">
      <c r="Q92" s="11"/>
    </row>
    <row r="93" spans="17:51" x14ac:dyDescent="0.3">
      <c r="Q93" s="11"/>
    </row>
    <row r="95" spans="17:51" x14ac:dyDescent="0.3">
      <c r="AM95" s="11"/>
      <c r="AN95" s="11"/>
      <c r="AO95" s="11"/>
      <c r="AR95" s="11"/>
      <c r="AS95" s="11"/>
      <c r="AT95" s="11"/>
      <c r="AW95" s="11"/>
      <c r="AX95" s="11"/>
      <c r="AY95" s="11"/>
    </row>
    <row r="96" spans="17:51" x14ac:dyDescent="0.3">
      <c r="AM96" s="11"/>
      <c r="AN96" s="11"/>
      <c r="AO96" s="11"/>
      <c r="AR96" s="11"/>
      <c r="AS96" s="11"/>
      <c r="AT96" s="11"/>
      <c r="AW96" s="11"/>
      <c r="AX96" s="11"/>
      <c r="AY96" s="11"/>
    </row>
    <row r="97" spans="18:51" x14ac:dyDescent="0.3">
      <c r="AM97" s="11"/>
      <c r="AN97" s="11"/>
      <c r="AO97" s="11"/>
      <c r="AR97" s="11"/>
      <c r="AS97" s="11"/>
      <c r="AT97" s="11"/>
      <c r="AW97" s="11"/>
      <c r="AX97" s="11"/>
      <c r="AY97" s="11"/>
    </row>
    <row r="98" spans="18:51" x14ac:dyDescent="0.3">
      <c r="AM98" s="11"/>
      <c r="AN98" s="11"/>
      <c r="AO98" s="11"/>
      <c r="AR98" s="11"/>
      <c r="AS98" s="11"/>
      <c r="AT98" s="11"/>
      <c r="AW98" s="11"/>
      <c r="AX98" s="11"/>
      <c r="AY98" s="11"/>
    </row>
    <row r="99" spans="18:51" x14ac:dyDescent="0.3">
      <c r="AM99" s="11"/>
      <c r="AN99" s="11"/>
      <c r="AO99" s="11"/>
      <c r="AR99" s="11"/>
      <c r="AS99" s="11"/>
      <c r="AT99" s="11"/>
      <c r="AW99" s="11"/>
      <c r="AX99" s="11"/>
      <c r="AY99" s="11"/>
    </row>
    <row r="100" spans="18:51" x14ac:dyDescent="0.3">
      <c r="AM100" s="11"/>
      <c r="AN100" s="11"/>
      <c r="AO100" s="11"/>
      <c r="AR100" s="11"/>
      <c r="AS100" s="11"/>
      <c r="AT100" s="11"/>
      <c r="AW100" s="11"/>
      <c r="AX100" s="11"/>
      <c r="AY100" s="11"/>
    </row>
    <row r="101" spans="18:51" x14ac:dyDescent="0.3">
      <c r="AM101" s="11"/>
      <c r="AN101" s="11"/>
      <c r="AO101" s="11"/>
      <c r="AR101" s="11"/>
      <c r="AS101" s="11"/>
      <c r="AT101" s="11"/>
      <c r="AW101" s="11"/>
      <c r="AX101" s="11"/>
      <c r="AY101" s="11"/>
    </row>
    <row r="102" spans="18:51" x14ac:dyDescent="0.3">
      <c r="AM102" s="11"/>
      <c r="AN102" s="11"/>
      <c r="AO102" s="11"/>
      <c r="AR102" s="11"/>
      <c r="AS102" s="11"/>
      <c r="AT102" s="11"/>
      <c r="AW102" s="11"/>
      <c r="AX102" s="11"/>
      <c r="AY102" s="11"/>
    </row>
    <row r="103" spans="18:51" x14ac:dyDescent="0.3">
      <c r="AM103" s="11"/>
      <c r="AN103" s="11"/>
      <c r="AO103" s="11"/>
      <c r="AR103" s="11"/>
      <c r="AS103" s="11"/>
      <c r="AT103" s="11"/>
      <c r="AW103" s="11"/>
      <c r="AX103" s="11"/>
      <c r="AY103" s="11"/>
    </row>
    <row r="104" spans="18:51" x14ac:dyDescent="0.3">
      <c r="AM104" s="11"/>
      <c r="AN104" s="11"/>
      <c r="AO104" s="11"/>
      <c r="AR104" s="11"/>
      <c r="AS104" s="11"/>
      <c r="AT104" s="11"/>
      <c r="AW104" s="11"/>
      <c r="AX104" s="11"/>
      <c r="AY104" s="11"/>
    </row>
    <row r="105" spans="18:51" x14ac:dyDescent="0.3">
      <c r="AM105" s="11"/>
      <c r="AN105" s="11"/>
      <c r="AO105" s="11"/>
      <c r="AR105" s="11"/>
      <c r="AS105" s="11"/>
      <c r="AT105" s="11"/>
      <c r="AW105" s="11"/>
      <c r="AX105" s="11"/>
      <c r="AY105" s="11"/>
    </row>
    <row r="106" spans="18:51" x14ac:dyDescent="0.3">
      <c r="AM106" s="11"/>
      <c r="AN106" s="11"/>
      <c r="AO106" s="11"/>
      <c r="AR106" s="11"/>
      <c r="AS106" s="11"/>
      <c r="AT106" s="11"/>
      <c r="AW106" s="11"/>
      <c r="AX106" s="11"/>
      <c r="AY106" s="11"/>
    </row>
    <row r="107" spans="18:51" x14ac:dyDescent="0.3">
      <c r="AM107" s="11"/>
      <c r="AN107" s="11"/>
      <c r="AO107" s="11"/>
      <c r="AR107" s="11"/>
      <c r="AS107" s="11"/>
      <c r="AT107" s="11"/>
      <c r="AW107" s="11"/>
      <c r="AX107" s="11"/>
      <c r="AY107" s="11"/>
    </row>
    <row r="108" spans="18:51" x14ac:dyDescent="0.3">
      <c r="AM108" s="11"/>
      <c r="AN108" s="11"/>
      <c r="AO108" s="11"/>
      <c r="AR108" s="11"/>
      <c r="AS108" s="11"/>
      <c r="AT108" s="11"/>
      <c r="AW108" s="11"/>
      <c r="AX108" s="11"/>
      <c r="AY108" s="11"/>
    </row>
    <row r="109" spans="18:51" x14ac:dyDescent="0.3">
      <c r="R109" s="11"/>
      <c r="S109" s="11"/>
      <c r="T109" s="11"/>
      <c r="W109" s="11"/>
      <c r="X109" s="11"/>
      <c r="Y109" s="11"/>
      <c r="Z109" s="11"/>
      <c r="AB109" s="11"/>
      <c r="AC109" s="11"/>
      <c r="AD109" s="11"/>
      <c r="AE109" s="11"/>
      <c r="AG109" s="11"/>
      <c r="AH109" s="11"/>
      <c r="AI109" s="11"/>
      <c r="AJ109" s="11"/>
      <c r="AM109" s="11"/>
      <c r="AN109" s="11"/>
      <c r="AO109" s="11"/>
      <c r="AR109" s="11"/>
      <c r="AS109" s="11"/>
      <c r="AT109" s="11"/>
      <c r="AW109" s="11"/>
      <c r="AX109" s="11"/>
      <c r="AY109" s="11"/>
    </row>
    <row r="110" spans="18:51" x14ac:dyDescent="0.3">
      <c r="R110" s="11"/>
      <c r="S110" s="11"/>
      <c r="T110" s="11"/>
      <c r="W110" s="11"/>
      <c r="X110" s="11"/>
      <c r="Y110" s="11"/>
      <c r="Z110" s="11"/>
      <c r="AB110" s="11"/>
      <c r="AC110" s="11"/>
      <c r="AD110" s="11"/>
      <c r="AE110" s="11"/>
      <c r="AG110" s="11"/>
      <c r="AH110" s="11"/>
      <c r="AI110" s="11"/>
      <c r="AJ110" s="11"/>
      <c r="AM110" s="11"/>
      <c r="AN110" s="11"/>
      <c r="AO110" s="11"/>
      <c r="AR110" s="11"/>
      <c r="AS110" s="11"/>
      <c r="AT110" s="11"/>
      <c r="AW110" s="11"/>
      <c r="AX110" s="11"/>
      <c r="AY110" s="11"/>
    </row>
    <row r="111" spans="18:51" x14ac:dyDescent="0.3">
      <c r="R111" s="11"/>
      <c r="S111" s="11"/>
      <c r="T111" s="11"/>
      <c r="W111" s="11"/>
      <c r="X111" s="11"/>
      <c r="Y111" s="11"/>
      <c r="Z111" s="11"/>
      <c r="AB111" s="11"/>
      <c r="AC111" s="11"/>
      <c r="AD111" s="11"/>
      <c r="AE111" s="11"/>
      <c r="AG111" s="11"/>
      <c r="AH111" s="11"/>
      <c r="AI111" s="11"/>
      <c r="AJ111" s="11"/>
      <c r="AM111" s="11"/>
      <c r="AN111" s="11"/>
      <c r="AO111" s="11"/>
      <c r="AR111" s="11"/>
      <c r="AS111" s="11"/>
      <c r="AT111" s="11"/>
      <c r="AW111" s="11"/>
      <c r="AX111" s="11"/>
      <c r="AY111" s="11"/>
    </row>
    <row r="112" spans="18:51" x14ac:dyDescent="0.3">
      <c r="R112" s="11"/>
      <c r="S112" s="11"/>
      <c r="T112" s="11"/>
      <c r="W112" s="11"/>
      <c r="X112" s="11"/>
      <c r="Y112" s="11"/>
      <c r="Z112" s="11"/>
      <c r="AB112" s="11"/>
      <c r="AC112" s="11"/>
      <c r="AD112" s="11"/>
      <c r="AE112" s="11"/>
      <c r="AG112" s="11"/>
      <c r="AH112" s="11"/>
      <c r="AI112" s="11"/>
      <c r="AJ112" s="11"/>
      <c r="AM112" s="11"/>
      <c r="AN112" s="11"/>
      <c r="AO112" s="11"/>
      <c r="AR112" s="11"/>
      <c r="AS112" s="11"/>
      <c r="AT112" s="11"/>
      <c r="AW112" s="11"/>
      <c r="AX112" s="11"/>
      <c r="AY112" s="11"/>
    </row>
    <row r="113" spans="18:51" x14ac:dyDescent="0.3">
      <c r="R113" s="11"/>
      <c r="S113" s="11"/>
      <c r="T113" s="11"/>
      <c r="W113" s="11"/>
      <c r="X113" s="11"/>
      <c r="Y113" s="11"/>
      <c r="Z113" s="11"/>
      <c r="AB113" s="11"/>
      <c r="AC113" s="11"/>
      <c r="AD113" s="11"/>
      <c r="AE113" s="11"/>
      <c r="AG113" s="11"/>
      <c r="AH113" s="11"/>
      <c r="AI113" s="11"/>
      <c r="AJ113" s="11"/>
      <c r="AM113" s="11"/>
      <c r="AN113" s="11"/>
      <c r="AO113" s="11"/>
      <c r="AR113" s="11"/>
      <c r="AS113" s="11"/>
      <c r="AT113" s="11"/>
      <c r="AW113" s="11"/>
      <c r="AX113" s="11"/>
      <c r="AY113" s="11"/>
    </row>
    <row r="114" spans="18:51" x14ac:dyDescent="0.3">
      <c r="R114" s="11"/>
      <c r="S114" s="11"/>
      <c r="T114" s="11"/>
      <c r="W114" s="11"/>
      <c r="X114" s="11"/>
      <c r="Y114" s="11"/>
      <c r="Z114" s="11"/>
      <c r="AB114" s="11"/>
      <c r="AC114" s="11"/>
      <c r="AD114" s="11"/>
      <c r="AE114" s="11"/>
      <c r="AG114" s="11"/>
      <c r="AH114" s="11"/>
      <c r="AI114" s="11"/>
      <c r="AJ114" s="11"/>
      <c r="AM114" s="11"/>
      <c r="AN114" s="11"/>
      <c r="AO114" s="11"/>
      <c r="AR114" s="11"/>
      <c r="AS114" s="11"/>
      <c r="AT114" s="11"/>
      <c r="AW114" s="11"/>
      <c r="AX114" s="11"/>
      <c r="AY114" s="11"/>
    </row>
    <row r="115" spans="18:51" x14ac:dyDescent="0.3">
      <c r="R115" s="11"/>
      <c r="S115" s="11"/>
      <c r="T115" s="11"/>
      <c r="W115" s="11"/>
      <c r="X115" s="11"/>
      <c r="Y115" s="11"/>
      <c r="Z115" s="11"/>
      <c r="AB115" s="11"/>
      <c r="AC115" s="11"/>
      <c r="AD115" s="11"/>
      <c r="AE115" s="11"/>
      <c r="AG115" s="11"/>
      <c r="AH115" s="11"/>
      <c r="AI115" s="11"/>
      <c r="AJ115" s="11"/>
      <c r="AM115" s="11"/>
      <c r="AN115" s="11"/>
      <c r="AO115" s="11"/>
      <c r="AR115" s="11"/>
      <c r="AS115" s="11"/>
      <c r="AT115" s="11"/>
      <c r="AW115" s="11"/>
      <c r="AX115" s="11"/>
      <c r="AY115" s="11"/>
    </row>
    <row r="116" spans="18:51" x14ac:dyDescent="0.3">
      <c r="R116" s="11"/>
      <c r="S116" s="11"/>
      <c r="T116" s="11"/>
      <c r="W116" s="11"/>
      <c r="X116" s="11"/>
      <c r="Y116" s="11"/>
      <c r="Z116" s="11"/>
      <c r="AB116" s="11"/>
      <c r="AC116" s="11"/>
      <c r="AD116" s="11"/>
      <c r="AE116" s="11"/>
      <c r="AG116" s="11"/>
      <c r="AH116" s="11"/>
      <c r="AI116" s="11"/>
      <c r="AJ116" s="11"/>
      <c r="AM116" s="11"/>
      <c r="AN116" s="11"/>
      <c r="AO116" s="11"/>
      <c r="AR116" s="11"/>
      <c r="AS116" s="11"/>
      <c r="AT116" s="11"/>
      <c r="AW116" s="11"/>
      <c r="AX116" s="11"/>
      <c r="AY116" s="11"/>
    </row>
    <row r="117" spans="18:51" x14ac:dyDescent="0.3">
      <c r="R117" s="11"/>
      <c r="S117" s="11"/>
      <c r="T117" s="11"/>
      <c r="W117" s="11"/>
      <c r="X117" s="11"/>
      <c r="Y117" s="11"/>
      <c r="Z117" s="11"/>
      <c r="AB117" s="11"/>
      <c r="AC117" s="11"/>
      <c r="AD117" s="11"/>
      <c r="AE117" s="11"/>
      <c r="AG117" s="11"/>
      <c r="AH117" s="11"/>
      <c r="AI117" s="11"/>
      <c r="AJ117" s="11"/>
      <c r="AM117" s="11"/>
      <c r="AN117" s="11"/>
      <c r="AO117" s="11"/>
      <c r="AR117" s="11"/>
      <c r="AS117" s="11"/>
      <c r="AT117" s="11"/>
      <c r="AW117" s="11"/>
      <c r="AX117" s="11"/>
      <c r="AY117" s="11"/>
    </row>
    <row r="118" spans="18:51" x14ac:dyDescent="0.3">
      <c r="R118" s="11"/>
      <c r="S118" s="11"/>
      <c r="T118" s="11"/>
      <c r="W118" s="11"/>
      <c r="X118" s="11"/>
      <c r="Y118" s="11"/>
      <c r="Z118" s="11"/>
      <c r="AB118" s="11"/>
      <c r="AC118" s="11"/>
      <c r="AD118" s="11"/>
      <c r="AE118" s="11"/>
      <c r="AG118" s="11"/>
      <c r="AH118" s="11"/>
      <c r="AI118" s="11"/>
      <c r="AJ118" s="11"/>
      <c r="AM118" s="11"/>
      <c r="AN118" s="11"/>
      <c r="AO118" s="11"/>
      <c r="AR118" s="11"/>
      <c r="AS118" s="11"/>
      <c r="AT118" s="11"/>
      <c r="AW118" s="11"/>
      <c r="AX118" s="11"/>
      <c r="AY118" s="11"/>
    </row>
    <row r="119" spans="18:51" x14ac:dyDescent="0.3">
      <c r="R119" s="11"/>
      <c r="S119" s="11"/>
      <c r="T119" s="11"/>
      <c r="W119" s="11"/>
      <c r="X119" s="11"/>
      <c r="Y119" s="11"/>
      <c r="Z119" s="11"/>
      <c r="AB119" s="11"/>
      <c r="AC119" s="11"/>
      <c r="AD119" s="11"/>
      <c r="AE119" s="11"/>
      <c r="AG119" s="11"/>
      <c r="AH119" s="11"/>
      <c r="AI119" s="11"/>
      <c r="AJ119" s="11"/>
      <c r="AM119" s="11"/>
      <c r="AN119" s="11"/>
      <c r="AO119" s="11"/>
      <c r="AR119" s="11"/>
      <c r="AS119" s="11"/>
      <c r="AT119" s="11"/>
      <c r="AW119" s="11"/>
      <c r="AX119" s="11"/>
      <c r="AY119" s="11"/>
    </row>
  </sheetData>
  <pageMargins left="0.7" right="0.7" top="0.75" bottom="0.75" header="0.3" footer="0.3"/>
  <pageSetup orientation="portrait" horizontalDpi="1200"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BF69B7-8F38-42AF-9C4A-29D15EFE7671}">
  <dimension ref="B2:U66"/>
  <sheetViews>
    <sheetView zoomScaleNormal="100" workbookViewId="0">
      <selection activeCell="W8" sqref="W8"/>
    </sheetView>
  </sheetViews>
  <sheetFormatPr defaultRowHeight="14.4" x14ac:dyDescent="0.3"/>
  <cols>
    <col min="7" max="7" width="11.109375" bestFit="1" customWidth="1"/>
    <col min="21" max="21" width="11.109375" bestFit="1" customWidth="1"/>
  </cols>
  <sheetData>
    <row r="2" spans="2:21" ht="43.2" x14ac:dyDescent="0.3">
      <c r="B2" s="33" t="s">
        <v>122</v>
      </c>
      <c r="C2" s="34" t="s">
        <v>123</v>
      </c>
      <c r="D2" s="35" t="s">
        <v>124</v>
      </c>
      <c r="E2" s="36" t="s">
        <v>125</v>
      </c>
      <c r="F2" s="37" t="s">
        <v>126</v>
      </c>
      <c r="G2" s="38" t="s">
        <v>127</v>
      </c>
      <c r="H2" s="39"/>
      <c r="I2" s="33" t="s">
        <v>122</v>
      </c>
      <c r="J2" s="34" t="s">
        <v>123</v>
      </c>
      <c r="K2" s="35" t="s">
        <v>124</v>
      </c>
      <c r="L2" s="36" t="s">
        <v>125</v>
      </c>
      <c r="M2" s="37" t="s">
        <v>126</v>
      </c>
      <c r="N2" s="38" t="s">
        <v>127</v>
      </c>
      <c r="O2" s="39"/>
      <c r="P2" s="33" t="s">
        <v>122</v>
      </c>
      <c r="Q2" s="34" t="s">
        <v>123</v>
      </c>
      <c r="R2" s="35" t="s">
        <v>124</v>
      </c>
      <c r="S2" s="36" t="s">
        <v>125</v>
      </c>
      <c r="T2" s="37" t="s">
        <v>126</v>
      </c>
      <c r="U2" s="38" t="s">
        <v>127</v>
      </c>
    </row>
    <row r="3" spans="2:21" x14ac:dyDescent="0.3">
      <c r="B3" s="93">
        <v>100</v>
      </c>
      <c r="C3" s="92">
        <v>100</v>
      </c>
      <c r="D3" s="89">
        <v>100</v>
      </c>
      <c r="E3" s="90">
        <v>100</v>
      </c>
      <c r="F3" s="91">
        <v>100</v>
      </c>
      <c r="G3" s="38">
        <v>100</v>
      </c>
      <c r="H3" s="39"/>
      <c r="I3" s="93">
        <v>220</v>
      </c>
      <c r="J3" s="92">
        <v>220</v>
      </c>
      <c r="K3" s="89">
        <v>220</v>
      </c>
      <c r="L3" s="90">
        <v>215</v>
      </c>
      <c r="M3" s="91">
        <v>215</v>
      </c>
      <c r="N3" s="38">
        <v>215</v>
      </c>
      <c r="O3" s="39"/>
      <c r="P3" s="93">
        <v>470</v>
      </c>
      <c r="Q3" s="92">
        <v>470</v>
      </c>
      <c r="R3" s="89">
        <v>470</v>
      </c>
      <c r="S3" s="90">
        <v>464</v>
      </c>
      <c r="T3" s="91">
        <v>464</v>
      </c>
      <c r="U3" s="38">
        <v>464</v>
      </c>
    </row>
    <row r="4" spans="2:21" x14ac:dyDescent="0.3">
      <c r="B4" s="93"/>
      <c r="C4" s="92"/>
      <c r="D4" s="89"/>
      <c r="E4" s="90"/>
      <c r="F4" s="91"/>
      <c r="G4" s="38">
        <v>101</v>
      </c>
      <c r="H4" s="39"/>
      <c r="I4" s="93"/>
      <c r="J4" s="92"/>
      <c r="K4" s="89"/>
      <c r="L4" s="90"/>
      <c r="M4" s="91"/>
      <c r="N4" s="38">
        <v>218</v>
      </c>
      <c r="O4" s="39"/>
      <c r="P4" s="93"/>
      <c r="Q4" s="92"/>
      <c r="R4" s="89"/>
      <c r="S4" s="90"/>
      <c r="T4" s="91"/>
      <c r="U4" s="38">
        <v>470</v>
      </c>
    </row>
    <row r="5" spans="2:21" x14ac:dyDescent="0.3">
      <c r="B5" s="93"/>
      <c r="C5" s="92"/>
      <c r="D5" s="89"/>
      <c r="E5" s="90"/>
      <c r="F5" s="91">
        <v>102</v>
      </c>
      <c r="G5" s="38">
        <v>102</v>
      </c>
      <c r="H5" s="39"/>
      <c r="I5" s="93"/>
      <c r="J5" s="92"/>
      <c r="K5" s="89"/>
      <c r="L5" s="90"/>
      <c r="M5" s="91">
        <v>221</v>
      </c>
      <c r="N5" s="38">
        <v>221</v>
      </c>
      <c r="O5" s="39"/>
      <c r="P5" s="93"/>
      <c r="Q5" s="92"/>
      <c r="R5" s="89"/>
      <c r="S5" s="90"/>
      <c r="T5" s="91">
        <v>475</v>
      </c>
      <c r="U5" s="38">
        <v>475</v>
      </c>
    </row>
    <row r="6" spans="2:21" x14ac:dyDescent="0.3">
      <c r="B6" s="93"/>
      <c r="C6" s="92"/>
      <c r="D6" s="89"/>
      <c r="E6" s="90"/>
      <c r="F6" s="91"/>
      <c r="G6" s="38">
        <v>104</v>
      </c>
      <c r="H6" s="39"/>
      <c r="I6" s="93"/>
      <c r="J6" s="92"/>
      <c r="K6" s="89"/>
      <c r="L6" s="90"/>
      <c r="M6" s="91"/>
      <c r="N6" s="38">
        <v>223</v>
      </c>
      <c r="O6" s="39"/>
      <c r="P6" s="93"/>
      <c r="Q6" s="92"/>
      <c r="R6" s="89"/>
      <c r="S6" s="90"/>
      <c r="T6" s="91"/>
      <c r="U6" s="38">
        <v>481</v>
      </c>
    </row>
    <row r="7" spans="2:21" x14ac:dyDescent="0.3">
      <c r="B7" s="93"/>
      <c r="C7" s="92"/>
      <c r="D7" s="89"/>
      <c r="E7" s="90">
        <v>105</v>
      </c>
      <c r="F7" s="91">
        <v>105</v>
      </c>
      <c r="G7" s="38">
        <v>105</v>
      </c>
      <c r="H7" s="39"/>
      <c r="I7" s="93"/>
      <c r="J7" s="92"/>
      <c r="K7" s="89"/>
      <c r="L7" s="90">
        <v>226</v>
      </c>
      <c r="M7" s="91">
        <v>226</v>
      </c>
      <c r="N7" s="38">
        <v>226</v>
      </c>
      <c r="O7" s="39"/>
      <c r="P7" s="93"/>
      <c r="Q7" s="92"/>
      <c r="R7" s="89"/>
      <c r="S7" s="90">
        <v>487</v>
      </c>
      <c r="T7" s="91">
        <v>487</v>
      </c>
      <c r="U7" s="38">
        <v>487</v>
      </c>
    </row>
    <row r="8" spans="2:21" x14ac:dyDescent="0.3">
      <c r="B8" s="93"/>
      <c r="C8" s="92"/>
      <c r="D8" s="89"/>
      <c r="E8" s="90"/>
      <c r="F8" s="91"/>
      <c r="G8" s="38">
        <v>106</v>
      </c>
      <c r="H8" s="39"/>
      <c r="I8" s="93"/>
      <c r="J8" s="92"/>
      <c r="K8" s="89"/>
      <c r="L8" s="90"/>
      <c r="M8" s="91"/>
      <c r="N8" s="38">
        <v>229</v>
      </c>
      <c r="O8" s="39"/>
      <c r="P8" s="93"/>
      <c r="Q8" s="92"/>
      <c r="R8" s="89"/>
      <c r="S8" s="90"/>
      <c r="T8" s="91"/>
      <c r="U8" s="38">
        <v>493</v>
      </c>
    </row>
    <row r="9" spans="2:21" x14ac:dyDescent="0.3">
      <c r="B9" s="93"/>
      <c r="C9" s="92"/>
      <c r="D9" s="89"/>
      <c r="E9" s="90"/>
      <c r="F9" s="91">
        <v>107</v>
      </c>
      <c r="G9" s="38">
        <v>107</v>
      </c>
      <c r="H9" s="39"/>
      <c r="I9" s="93"/>
      <c r="J9" s="92"/>
      <c r="K9" s="89"/>
      <c r="L9" s="90"/>
      <c r="M9" s="91">
        <v>232</v>
      </c>
      <c r="N9" s="38">
        <v>232</v>
      </c>
      <c r="O9" s="39"/>
      <c r="P9" s="93"/>
      <c r="Q9" s="92"/>
      <c r="R9" s="89"/>
      <c r="S9" s="90"/>
      <c r="T9" s="91">
        <v>499</v>
      </c>
      <c r="U9" s="38">
        <v>499</v>
      </c>
    </row>
    <row r="10" spans="2:21" x14ac:dyDescent="0.3">
      <c r="B10" s="93"/>
      <c r="C10" s="92"/>
      <c r="D10" s="89"/>
      <c r="E10" s="90"/>
      <c r="F10" s="91"/>
      <c r="G10" s="38">
        <v>109</v>
      </c>
      <c r="H10" s="39"/>
      <c r="I10" s="93"/>
      <c r="J10" s="92"/>
      <c r="K10" s="89"/>
      <c r="L10" s="90"/>
      <c r="M10" s="91"/>
      <c r="N10" s="38">
        <v>234</v>
      </c>
      <c r="O10" s="39"/>
      <c r="P10" s="93"/>
      <c r="Q10" s="92"/>
      <c r="R10" s="89"/>
      <c r="S10" s="90"/>
      <c r="T10" s="91"/>
      <c r="U10" s="38">
        <v>505</v>
      </c>
    </row>
    <row r="11" spans="2:21" x14ac:dyDescent="0.3">
      <c r="B11" s="93"/>
      <c r="C11" s="92"/>
      <c r="D11" s="89">
        <v>110</v>
      </c>
      <c r="E11" s="90">
        <v>110</v>
      </c>
      <c r="F11" s="91">
        <v>110</v>
      </c>
      <c r="G11" s="38">
        <v>110</v>
      </c>
      <c r="H11" s="39"/>
      <c r="I11" s="93"/>
      <c r="J11" s="92"/>
      <c r="K11" s="89">
        <v>240</v>
      </c>
      <c r="L11" s="90">
        <v>237</v>
      </c>
      <c r="M11" s="91">
        <v>237</v>
      </c>
      <c r="N11" s="38">
        <v>237</v>
      </c>
      <c r="O11" s="39"/>
      <c r="P11" s="93"/>
      <c r="Q11" s="92"/>
      <c r="R11" s="89">
        <v>510</v>
      </c>
      <c r="S11" s="90">
        <v>511</v>
      </c>
      <c r="T11" s="91">
        <v>511</v>
      </c>
      <c r="U11" s="38">
        <v>511</v>
      </c>
    </row>
    <row r="12" spans="2:21" x14ac:dyDescent="0.3">
      <c r="B12" s="93"/>
      <c r="C12" s="92"/>
      <c r="D12" s="89"/>
      <c r="E12" s="90"/>
      <c r="F12" s="91"/>
      <c r="G12" s="38">
        <v>111</v>
      </c>
      <c r="H12" s="39"/>
      <c r="I12" s="93"/>
      <c r="J12" s="92"/>
      <c r="K12" s="89"/>
      <c r="L12" s="90"/>
      <c r="M12" s="91"/>
      <c r="N12" s="38">
        <v>240</v>
      </c>
      <c r="O12" s="39"/>
      <c r="P12" s="93"/>
      <c r="Q12" s="92"/>
      <c r="R12" s="89"/>
      <c r="S12" s="90"/>
      <c r="T12" s="91"/>
      <c r="U12" s="38">
        <v>517</v>
      </c>
    </row>
    <row r="13" spans="2:21" x14ac:dyDescent="0.3">
      <c r="B13" s="93"/>
      <c r="C13" s="92"/>
      <c r="D13" s="89"/>
      <c r="E13" s="90"/>
      <c r="F13" s="91">
        <v>113</v>
      </c>
      <c r="G13" s="38">
        <v>113</v>
      </c>
      <c r="H13" s="39"/>
      <c r="I13" s="93"/>
      <c r="J13" s="92"/>
      <c r="K13" s="89"/>
      <c r="L13" s="90"/>
      <c r="M13" s="91">
        <v>243</v>
      </c>
      <c r="N13" s="38">
        <v>243</v>
      </c>
      <c r="O13" s="39"/>
      <c r="P13" s="93"/>
      <c r="Q13" s="92"/>
      <c r="R13" s="89"/>
      <c r="S13" s="90"/>
      <c r="T13" s="91">
        <v>523</v>
      </c>
      <c r="U13" s="38">
        <v>523</v>
      </c>
    </row>
    <row r="14" spans="2:21" x14ac:dyDescent="0.3">
      <c r="B14" s="93"/>
      <c r="C14" s="92"/>
      <c r="D14" s="89"/>
      <c r="E14" s="90"/>
      <c r="F14" s="91"/>
      <c r="G14" s="38">
        <v>114</v>
      </c>
      <c r="H14" s="39"/>
      <c r="I14" s="93"/>
      <c r="J14" s="92"/>
      <c r="K14" s="89"/>
      <c r="L14" s="90"/>
      <c r="M14" s="91"/>
      <c r="N14" s="38">
        <v>246</v>
      </c>
      <c r="O14" s="39"/>
      <c r="P14" s="93"/>
      <c r="Q14" s="92"/>
      <c r="R14" s="89"/>
      <c r="S14" s="90"/>
      <c r="T14" s="91"/>
      <c r="U14" s="38">
        <v>530</v>
      </c>
    </row>
    <row r="15" spans="2:21" x14ac:dyDescent="0.3">
      <c r="B15" s="93"/>
      <c r="C15" s="92"/>
      <c r="D15" s="89"/>
      <c r="E15" s="90">
        <v>115</v>
      </c>
      <c r="F15" s="91">
        <v>115</v>
      </c>
      <c r="G15" s="38">
        <v>115</v>
      </c>
      <c r="H15" s="39"/>
      <c r="I15" s="93"/>
      <c r="J15" s="92"/>
      <c r="K15" s="89"/>
      <c r="L15" s="90">
        <v>249</v>
      </c>
      <c r="M15" s="91">
        <v>249</v>
      </c>
      <c r="N15" s="38">
        <v>249</v>
      </c>
      <c r="O15" s="39"/>
      <c r="P15" s="93"/>
      <c r="Q15" s="92"/>
      <c r="R15" s="89"/>
      <c r="S15" s="90">
        <v>536</v>
      </c>
      <c r="T15" s="91">
        <v>536</v>
      </c>
      <c r="U15" s="38">
        <v>536</v>
      </c>
    </row>
    <row r="16" spans="2:21" x14ac:dyDescent="0.3">
      <c r="B16" s="93"/>
      <c r="C16" s="92"/>
      <c r="D16" s="89"/>
      <c r="E16" s="90"/>
      <c r="F16" s="91"/>
      <c r="G16" s="38">
        <v>117</v>
      </c>
      <c r="H16" s="39"/>
      <c r="I16" s="93"/>
      <c r="J16" s="92"/>
      <c r="K16" s="89"/>
      <c r="L16" s="90"/>
      <c r="M16" s="91"/>
      <c r="N16" s="38">
        <v>252</v>
      </c>
      <c r="O16" s="39"/>
      <c r="P16" s="93"/>
      <c r="Q16" s="92"/>
      <c r="R16" s="89"/>
      <c r="S16" s="90"/>
      <c r="T16" s="91"/>
      <c r="U16" s="38">
        <v>542</v>
      </c>
    </row>
    <row r="17" spans="2:21" x14ac:dyDescent="0.3">
      <c r="B17" s="93"/>
      <c r="C17" s="92"/>
      <c r="D17" s="89"/>
      <c r="E17" s="90"/>
      <c r="F17" s="91">
        <v>118</v>
      </c>
      <c r="G17" s="38">
        <v>118</v>
      </c>
      <c r="H17" s="39"/>
      <c r="I17" s="93"/>
      <c r="J17" s="92"/>
      <c r="K17" s="89"/>
      <c r="L17" s="90"/>
      <c r="M17" s="91">
        <v>255</v>
      </c>
      <c r="N17" s="38">
        <v>255</v>
      </c>
      <c r="O17" s="39"/>
      <c r="P17" s="93"/>
      <c r="Q17" s="92"/>
      <c r="R17" s="89"/>
      <c r="S17" s="90"/>
      <c r="T17" s="91">
        <v>549</v>
      </c>
      <c r="U17" s="38">
        <v>549</v>
      </c>
    </row>
    <row r="18" spans="2:21" x14ac:dyDescent="0.3">
      <c r="B18" s="93"/>
      <c r="C18" s="92"/>
      <c r="D18" s="89"/>
      <c r="E18" s="90"/>
      <c r="F18" s="91"/>
      <c r="G18" s="38">
        <v>120</v>
      </c>
      <c r="H18" s="39"/>
      <c r="I18" s="93"/>
      <c r="J18" s="92"/>
      <c r="K18" s="89"/>
      <c r="L18" s="90"/>
      <c r="M18" s="91"/>
      <c r="N18" s="38">
        <v>258</v>
      </c>
      <c r="O18" s="39"/>
      <c r="P18" s="93"/>
      <c r="Q18" s="92"/>
      <c r="R18" s="89"/>
      <c r="S18" s="90"/>
      <c r="T18" s="91"/>
      <c r="U18" s="38">
        <v>556</v>
      </c>
    </row>
    <row r="19" spans="2:21" x14ac:dyDescent="0.3">
      <c r="B19" s="93"/>
      <c r="C19" s="92">
        <v>120</v>
      </c>
      <c r="D19" s="89">
        <v>120</v>
      </c>
      <c r="E19" s="90">
        <v>121</v>
      </c>
      <c r="F19" s="91">
        <v>121</v>
      </c>
      <c r="G19" s="38">
        <v>121</v>
      </c>
      <c r="H19" s="39"/>
      <c r="I19" s="93"/>
      <c r="J19" s="92">
        <v>270</v>
      </c>
      <c r="K19" s="89">
        <v>270</v>
      </c>
      <c r="L19" s="90">
        <v>261</v>
      </c>
      <c r="M19" s="91">
        <v>261</v>
      </c>
      <c r="N19" s="38">
        <v>261</v>
      </c>
      <c r="O19" s="39"/>
      <c r="P19" s="93"/>
      <c r="Q19" s="92">
        <v>560</v>
      </c>
      <c r="R19" s="89">
        <v>560</v>
      </c>
      <c r="S19" s="90">
        <v>562</v>
      </c>
      <c r="T19" s="91">
        <v>562</v>
      </c>
      <c r="U19" s="38">
        <v>562</v>
      </c>
    </row>
    <row r="20" spans="2:21" x14ac:dyDescent="0.3">
      <c r="B20" s="93"/>
      <c r="C20" s="92"/>
      <c r="D20" s="89"/>
      <c r="E20" s="90"/>
      <c r="F20" s="91"/>
      <c r="G20" s="38">
        <v>123</v>
      </c>
      <c r="H20" s="39"/>
      <c r="I20" s="93"/>
      <c r="J20" s="92"/>
      <c r="K20" s="89"/>
      <c r="L20" s="90"/>
      <c r="M20" s="91"/>
      <c r="N20" s="38">
        <v>264</v>
      </c>
      <c r="O20" s="39"/>
      <c r="P20" s="93"/>
      <c r="Q20" s="92"/>
      <c r="R20" s="89"/>
      <c r="S20" s="90"/>
      <c r="T20" s="91"/>
      <c r="U20" s="38">
        <v>569</v>
      </c>
    </row>
    <row r="21" spans="2:21" x14ac:dyDescent="0.3">
      <c r="B21" s="93"/>
      <c r="C21" s="92"/>
      <c r="D21" s="89"/>
      <c r="E21" s="90"/>
      <c r="F21" s="91">
        <v>124</v>
      </c>
      <c r="G21" s="38">
        <v>124</v>
      </c>
      <c r="H21" s="39"/>
      <c r="I21" s="93"/>
      <c r="J21" s="92"/>
      <c r="K21" s="89"/>
      <c r="L21" s="90"/>
      <c r="M21" s="91">
        <v>267</v>
      </c>
      <c r="N21" s="38">
        <v>267</v>
      </c>
      <c r="O21" s="39"/>
      <c r="P21" s="93"/>
      <c r="Q21" s="92"/>
      <c r="R21" s="89"/>
      <c r="S21" s="90"/>
      <c r="T21" s="91">
        <v>576</v>
      </c>
      <c r="U21" s="38">
        <v>576</v>
      </c>
    </row>
    <row r="22" spans="2:21" x14ac:dyDescent="0.3">
      <c r="B22" s="93"/>
      <c r="C22" s="92"/>
      <c r="D22" s="89"/>
      <c r="E22" s="90"/>
      <c r="F22" s="91"/>
      <c r="G22" s="38">
        <v>126</v>
      </c>
      <c r="H22" s="39"/>
      <c r="I22" s="93"/>
      <c r="J22" s="92"/>
      <c r="K22" s="89"/>
      <c r="L22" s="90"/>
      <c r="M22" s="91"/>
      <c r="N22" s="38">
        <v>271</v>
      </c>
      <c r="O22" s="39"/>
      <c r="P22" s="93"/>
      <c r="Q22" s="92"/>
      <c r="R22" s="89"/>
      <c r="S22" s="90"/>
      <c r="T22" s="91"/>
      <c r="U22" s="38">
        <v>583</v>
      </c>
    </row>
    <row r="23" spans="2:21" x14ac:dyDescent="0.3">
      <c r="B23" s="93"/>
      <c r="C23" s="92"/>
      <c r="D23" s="89"/>
      <c r="E23" s="90">
        <v>127</v>
      </c>
      <c r="F23" s="91">
        <v>127</v>
      </c>
      <c r="G23" s="38">
        <v>127</v>
      </c>
      <c r="H23" s="39"/>
      <c r="I23" s="93"/>
      <c r="J23" s="92"/>
      <c r="K23" s="89"/>
      <c r="L23" s="90">
        <v>274</v>
      </c>
      <c r="M23" s="91">
        <v>274</v>
      </c>
      <c r="N23" s="38">
        <v>274</v>
      </c>
      <c r="O23" s="39"/>
      <c r="P23" s="93"/>
      <c r="Q23" s="92"/>
      <c r="R23" s="89"/>
      <c r="S23" s="90">
        <v>590</v>
      </c>
      <c r="T23" s="91">
        <v>590</v>
      </c>
      <c r="U23" s="38">
        <v>590</v>
      </c>
    </row>
    <row r="24" spans="2:21" x14ac:dyDescent="0.3">
      <c r="B24" s="93"/>
      <c r="C24" s="92"/>
      <c r="D24" s="89"/>
      <c r="E24" s="90"/>
      <c r="F24" s="91"/>
      <c r="G24" s="38">
        <v>129</v>
      </c>
      <c r="H24" s="39"/>
      <c r="I24" s="93"/>
      <c r="J24" s="92"/>
      <c r="K24" s="89"/>
      <c r="L24" s="90"/>
      <c r="M24" s="91"/>
      <c r="N24" s="38">
        <v>277</v>
      </c>
      <c r="O24" s="39"/>
      <c r="P24" s="93"/>
      <c r="Q24" s="92"/>
      <c r="R24" s="89"/>
      <c r="S24" s="90"/>
      <c r="T24" s="91"/>
      <c r="U24" s="38">
        <v>597</v>
      </c>
    </row>
    <row r="25" spans="2:21" x14ac:dyDescent="0.3">
      <c r="B25" s="93"/>
      <c r="C25" s="92"/>
      <c r="D25" s="89"/>
      <c r="E25" s="90"/>
      <c r="F25" s="91">
        <v>130</v>
      </c>
      <c r="G25" s="38">
        <v>130</v>
      </c>
      <c r="H25" s="39"/>
      <c r="I25" s="93"/>
      <c r="J25" s="92"/>
      <c r="K25" s="89"/>
      <c r="L25" s="90"/>
      <c r="M25" s="91">
        <v>280</v>
      </c>
      <c r="N25" s="38">
        <v>280</v>
      </c>
      <c r="O25" s="39"/>
      <c r="P25" s="93"/>
      <c r="Q25" s="92"/>
      <c r="R25" s="89"/>
      <c r="S25" s="90"/>
      <c r="T25" s="91">
        <v>604</v>
      </c>
      <c r="U25" s="38">
        <v>604</v>
      </c>
    </row>
    <row r="26" spans="2:21" x14ac:dyDescent="0.3">
      <c r="B26" s="93"/>
      <c r="C26" s="92"/>
      <c r="D26" s="89"/>
      <c r="E26" s="90"/>
      <c r="F26" s="91"/>
      <c r="G26" s="38">
        <v>132</v>
      </c>
      <c r="H26" s="39"/>
      <c r="I26" s="93"/>
      <c r="J26" s="92"/>
      <c r="K26" s="89"/>
      <c r="L26" s="90"/>
      <c r="M26" s="91"/>
      <c r="N26" s="38">
        <v>284</v>
      </c>
      <c r="O26" s="39"/>
      <c r="P26" s="93"/>
      <c r="Q26" s="92"/>
      <c r="R26" s="89"/>
      <c r="S26" s="90"/>
      <c r="T26" s="91"/>
      <c r="U26" s="38">
        <v>612</v>
      </c>
    </row>
    <row r="27" spans="2:21" x14ac:dyDescent="0.3">
      <c r="B27" s="93"/>
      <c r="C27" s="92"/>
      <c r="D27" s="89">
        <v>130</v>
      </c>
      <c r="E27" s="90">
        <v>133</v>
      </c>
      <c r="F27" s="91">
        <v>133</v>
      </c>
      <c r="G27" s="38">
        <v>133</v>
      </c>
      <c r="H27" s="39"/>
      <c r="I27" s="93"/>
      <c r="J27" s="92"/>
      <c r="K27" s="89">
        <v>300</v>
      </c>
      <c r="L27" s="90">
        <v>287</v>
      </c>
      <c r="M27" s="91">
        <v>287</v>
      </c>
      <c r="N27" s="38">
        <v>287</v>
      </c>
      <c r="O27" s="39"/>
      <c r="P27" s="93"/>
      <c r="Q27" s="92"/>
      <c r="R27" s="89">
        <v>620</v>
      </c>
      <c r="S27" s="90">
        <v>619</v>
      </c>
      <c r="T27" s="91">
        <v>619</v>
      </c>
      <c r="U27" s="38">
        <v>619</v>
      </c>
    </row>
    <row r="28" spans="2:21" x14ac:dyDescent="0.3">
      <c r="B28" s="93"/>
      <c r="C28" s="92"/>
      <c r="D28" s="89"/>
      <c r="E28" s="90"/>
      <c r="F28" s="91"/>
      <c r="G28" s="38">
        <v>135</v>
      </c>
      <c r="H28" s="39"/>
      <c r="I28" s="93"/>
      <c r="J28" s="92"/>
      <c r="K28" s="89"/>
      <c r="L28" s="90"/>
      <c r="M28" s="91"/>
      <c r="N28" s="38">
        <v>291</v>
      </c>
      <c r="O28" s="39"/>
      <c r="P28" s="93"/>
      <c r="Q28" s="92"/>
      <c r="R28" s="89"/>
      <c r="S28" s="90"/>
      <c r="T28" s="91"/>
      <c r="U28" s="38">
        <v>626</v>
      </c>
    </row>
    <row r="29" spans="2:21" x14ac:dyDescent="0.3">
      <c r="B29" s="93"/>
      <c r="C29" s="92"/>
      <c r="D29" s="89"/>
      <c r="E29" s="90"/>
      <c r="F29" s="91">
        <v>137</v>
      </c>
      <c r="G29" s="38">
        <v>137</v>
      </c>
      <c r="H29" s="39"/>
      <c r="I29" s="93"/>
      <c r="J29" s="92"/>
      <c r="K29" s="89"/>
      <c r="L29" s="90"/>
      <c r="M29" s="91">
        <v>294</v>
      </c>
      <c r="N29" s="38">
        <v>294</v>
      </c>
      <c r="O29" s="39"/>
      <c r="P29" s="93"/>
      <c r="Q29" s="92"/>
      <c r="R29" s="89"/>
      <c r="S29" s="90"/>
      <c r="T29" s="91">
        <v>634</v>
      </c>
      <c r="U29" s="38">
        <v>634</v>
      </c>
    </row>
    <row r="30" spans="2:21" x14ac:dyDescent="0.3">
      <c r="B30" s="93"/>
      <c r="C30" s="92"/>
      <c r="D30" s="89"/>
      <c r="E30" s="90"/>
      <c r="F30" s="91"/>
      <c r="G30" s="38">
        <v>138</v>
      </c>
      <c r="H30" s="39"/>
      <c r="I30" s="93"/>
      <c r="J30" s="92"/>
      <c r="K30" s="89"/>
      <c r="L30" s="90"/>
      <c r="M30" s="91"/>
      <c r="N30" s="38">
        <v>298</v>
      </c>
      <c r="O30" s="39"/>
      <c r="P30" s="93"/>
      <c r="Q30" s="92"/>
      <c r="R30" s="89"/>
      <c r="S30" s="90"/>
      <c r="T30" s="91"/>
      <c r="U30" s="38">
        <v>642</v>
      </c>
    </row>
    <row r="31" spans="2:21" x14ac:dyDescent="0.3">
      <c r="B31" s="93"/>
      <c r="C31" s="92"/>
      <c r="D31" s="89"/>
      <c r="E31" s="90">
        <v>140</v>
      </c>
      <c r="F31" s="91">
        <v>140</v>
      </c>
      <c r="G31" s="38">
        <v>140</v>
      </c>
      <c r="H31" s="39"/>
      <c r="I31" s="93"/>
      <c r="J31" s="92"/>
      <c r="K31" s="89"/>
      <c r="L31" s="90">
        <v>301</v>
      </c>
      <c r="M31" s="91">
        <v>301</v>
      </c>
      <c r="N31" s="38">
        <v>301</v>
      </c>
      <c r="O31" s="39"/>
      <c r="P31" s="93"/>
      <c r="Q31" s="92"/>
      <c r="R31" s="89"/>
      <c r="S31" s="90">
        <v>649</v>
      </c>
      <c r="T31" s="91">
        <v>649</v>
      </c>
      <c r="U31" s="38">
        <v>649</v>
      </c>
    </row>
    <row r="32" spans="2:21" x14ac:dyDescent="0.3">
      <c r="B32" s="93"/>
      <c r="C32" s="92"/>
      <c r="D32" s="89"/>
      <c r="E32" s="90"/>
      <c r="F32" s="91"/>
      <c r="G32" s="38">
        <v>142</v>
      </c>
      <c r="H32" s="39"/>
      <c r="I32" s="93"/>
      <c r="J32" s="92"/>
      <c r="K32" s="89"/>
      <c r="L32" s="90"/>
      <c r="M32" s="91"/>
      <c r="N32" s="38">
        <v>305</v>
      </c>
      <c r="O32" s="39"/>
      <c r="P32" s="93"/>
      <c r="Q32" s="92"/>
      <c r="R32" s="89"/>
      <c r="S32" s="90"/>
      <c r="T32" s="91"/>
      <c r="U32" s="38">
        <v>657</v>
      </c>
    </row>
    <row r="33" spans="2:21" x14ac:dyDescent="0.3">
      <c r="B33" s="93"/>
      <c r="C33" s="92"/>
      <c r="D33" s="89"/>
      <c r="E33" s="90"/>
      <c r="F33" s="91">
        <v>143</v>
      </c>
      <c r="G33" s="38">
        <v>143</v>
      </c>
      <c r="H33" s="39"/>
      <c r="I33" s="93"/>
      <c r="J33" s="92"/>
      <c r="K33" s="89"/>
      <c r="L33" s="90"/>
      <c r="M33" s="91">
        <v>309</v>
      </c>
      <c r="N33" s="38">
        <v>309</v>
      </c>
      <c r="O33" s="39"/>
      <c r="P33" s="93"/>
      <c r="Q33" s="92"/>
      <c r="R33" s="89"/>
      <c r="S33" s="90"/>
      <c r="T33" s="91">
        <v>665</v>
      </c>
      <c r="U33" s="38">
        <v>665</v>
      </c>
    </row>
    <row r="34" spans="2:21" x14ac:dyDescent="0.3">
      <c r="B34" s="93"/>
      <c r="C34" s="92"/>
      <c r="D34" s="89"/>
      <c r="E34" s="90"/>
      <c r="F34" s="91"/>
      <c r="G34" s="38">
        <v>145</v>
      </c>
      <c r="H34" s="39"/>
      <c r="I34" s="93"/>
      <c r="J34" s="92"/>
      <c r="K34" s="89"/>
      <c r="L34" s="90"/>
      <c r="M34" s="91"/>
      <c r="N34" s="38">
        <v>312</v>
      </c>
      <c r="O34" s="39"/>
      <c r="P34" s="93"/>
      <c r="Q34" s="92"/>
      <c r="R34" s="89"/>
      <c r="S34" s="90"/>
      <c r="T34" s="91"/>
      <c r="U34" s="38">
        <v>673</v>
      </c>
    </row>
    <row r="35" spans="2:21" x14ac:dyDescent="0.3">
      <c r="B35" s="93">
        <v>150</v>
      </c>
      <c r="C35" s="92">
        <v>150</v>
      </c>
      <c r="D35" s="89">
        <v>150</v>
      </c>
      <c r="E35" s="90">
        <v>147</v>
      </c>
      <c r="F35" s="91">
        <v>147</v>
      </c>
      <c r="G35" s="38">
        <v>147</v>
      </c>
      <c r="H35" s="39"/>
      <c r="I35" s="93">
        <v>330</v>
      </c>
      <c r="J35" s="92">
        <v>330</v>
      </c>
      <c r="K35" s="89">
        <v>330</v>
      </c>
      <c r="L35" s="90">
        <v>316</v>
      </c>
      <c r="M35" s="91">
        <v>316</v>
      </c>
      <c r="N35" s="38">
        <v>316</v>
      </c>
      <c r="O35" s="39"/>
      <c r="P35" s="93">
        <v>680</v>
      </c>
      <c r="Q35" s="92">
        <v>680</v>
      </c>
      <c r="R35" s="89">
        <v>680</v>
      </c>
      <c r="S35" s="90">
        <v>681</v>
      </c>
      <c r="T35" s="91">
        <v>681</v>
      </c>
      <c r="U35" s="38">
        <v>681</v>
      </c>
    </row>
    <row r="36" spans="2:21" x14ac:dyDescent="0.3">
      <c r="B36" s="93"/>
      <c r="C36" s="92"/>
      <c r="D36" s="89"/>
      <c r="E36" s="90"/>
      <c r="F36" s="91"/>
      <c r="G36" s="38">
        <v>149</v>
      </c>
      <c r="H36" s="39"/>
      <c r="I36" s="93"/>
      <c r="J36" s="92"/>
      <c r="K36" s="89"/>
      <c r="L36" s="90"/>
      <c r="M36" s="91"/>
      <c r="N36" s="38">
        <v>320</v>
      </c>
      <c r="O36" s="39"/>
      <c r="P36" s="93"/>
      <c r="Q36" s="92"/>
      <c r="R36" s="89"/>
      <c r="S36" s="90"/>
      <c r="T36" s="91"/>
      <c r="U36" s="38">
        <v>690</v>
      </c>
    </row>
    <row r="37" spans="2:21" x14ac:dyDescent="0.3">
      <c r="B37" s="93"/>
      <c r="C37" s="92"/>
      <c r="D37" s="89"/>
      <c r="E37" s="90"/>
      <c r="F37" s="91">
        <v>150</v>
      </c>
      <c r="G37" s="38">
        <v>150</v>
      </c>
      <c r="H37" s="39"/>
      <c r="I37" s="93"/>
      <c r="J37" s="92"/>
      <c r="K37" s="89"/>
      <c r="L37" s="90"/>
      <c r="M37" s="91">
        <v>324</v>
      </c>
      <c r="N37" s="38">
        <v>324</v>
      </c>
      <c r="O37" s="39"/>
      <c r="P37" s="93"/>
      <c r="Q37" s="92"/>
      <c r="R37" s="89"/>
      <c r="S37" s="90"/>
      <c r="T37" s="91">
        <v>698</v>
      </c>
      <c r="U37" s="38">
        <v>698</v>
      </c>
    </row>
    <row r="38" spans="2:21" x14ac:dyDescent="0.3">
      <c r="B38" s="93"/>
      <c r="C38" s="92"/>
      <c r="D38" s="89"/>
      <c r="E38" s="90"/>
      <c r="F38" s="91"/>
      <c r="G38" s="38">
        <v>152</v>
      </c>
      <c r="H38" s="39"/>
      <c r="I38" s="93"/>
      <c r="J38" s="92"/>
      <c r="K38" s="89"/>
      <c r="L38" s="90"/>
      <c r="M38" s="91"/>
      <c r="N38" s="38">
        <v>328</v>
      </c>
      <c r="O38" s="39"/>
      <c r="P38" s="93"/>
      <c r="Q38" s="92"/>
      <c r="R38" s="89"/>
      <c r="S38" s="90"/>
      <c r="T38" s="91"/>
      <c r="U38" s="38">
        <v>706</v>
      </c>
    </row>
    <row r="39" spans="2:21" x14ac:dyDescent="0.3">
      <c r="B39" s="93"/>
      <c r="C39" s="92"/>
      <c r="D39" s="89"/>
      <c r="E39" s="90">
        <v>154</v>
      </c>
      <c r="F39" s="91">
        <v>154</v>
      </c>
      <c r="G39" s="38">
        <v>154</v>
      </c>
      <c r="H39" s="39"/>
      <c r="I39" s="93"/>
      <c r="J39" s="92"/>
      <c r="K39" s="89"/>
      <c r="L39" s="90">
        <v>332</v>
      </c>
      <c r="M39" s="91">
        <v>332</v>
      </c>
      <c r="N39" s="38">
        <v>332</v>
      </c>
      <c r="O39" s="39"/>
      <c r="P39" s="93"/>
      <c r="Q39" s="92"/>
      <c r="R39" s="89"/>
      <c r="S39" s="90">
        <v>715</v>
      </c>
      <c r="T39" s="91">
        <v>715</v>
      </c>
      <c r="U39" s="38">
        <v>715</v>
      </c>
    </row>
    <row r="40" spans="2:21" x14ac:dyDescent="0.3">
      <c r="B40" s="93"/>
      <c r="C40" s="92"/>
      <c r="D40" s="89"/>
      <c r="E40" s="90"/>
      <c r="F40" s="91"/>
      <c r="G40" s="38">
        <v>156</v>
      </c>
      <c r="H40" s="39"/>
      <c r="I40" s="93"/>
      <c r="J40" s="92"/>
      <c r="K40" s="89"/>
      <c r="L40" s="90"/>
      <c r="M40" s="91"/>
      <c r="N40" s="38">
        <v>336</v>
      </c>
      <c r="O40" s="39"/>
      <c r="P40" s="93"/>
      <c r="Q40" s="92"/>
      <c r="R40" s="89"/>
      <c r="S40" s="90"/>
      <c r="T40" s="91"/>
      <c r="U40" s="38">
        <v>723</v>
      </c>
    </row>
    <row r="41" spans="2:21" x14ac:dyDescent="0.3">
      <c r="B41" s="93"/>
      <c r="C41" s="92"/>
      <c r="D41" s="89"/>
      <c r="E41" s="90"/>
      <c r="F41" s="91">
        <v>158</v>
      </c>
      <c r="G41" s="38">
        <v>158</v>
      </c>
      <c r="H41" s="39"/>
      <c r="I41" s="93"/>
      <c r="J41" s="92"/>
      <c r="K41" s="89"/>
      <c r="L41" s="90"/>
      <c r="M41" s="91">
        <v>340</v>
      </c>
      <c r="N41" s="38">
        <v>340</v>
      </c>
      <c r="O41" s="39"/>
      <c r="P41" s="93"/>
      <c r="Q41" s="92"/>
      <c r="R41" s="89"/>
      <c r="S41" s="90"/>
      <c r="T41" s="91">
        <v>732</v>
      </c>
      <c r="U41" s="38">
        <v>732</v>
      </c>
    </row>
    <row r="42" spans="2:21" x14ac:dyDescent="0.3">
      <c r="B42" s="93"/>
      <c r="C42" s="92"/>
      <c r="D42" s="89"/>
      <c r="E42" s="90"/>
      <c r="F42" s="91"/>
      <c r="G42" s="38">
        <v>160</v>
      </c>
      <c r="H42" s="39"/>
      <c r="I42" s="93"/>
      <c r="J42" s="92"/>
      <c r="K42" s="89"/>
      <c r="L42" s="90"/>
      <c r="M42" s="91"/>
      <c r="N42" s="38">
        <v>344</v>
      </c>
      <c r="O42" s="39"/>
      <c r="P42" s="93"/>
      <c r="Q42" s="92"/>
      <c r="R42" s="89"/>
      <c r="S42" s="90"/>
      <c r="T42" s="91"/>
      <c r="U42" s="38">
        <v>741</v>
      </c>
    </row>
    <row r="43" spans="2:21" x14ac:dyDescent="0.3">
      <c r="B43" s="93"/>
      <c r="C43" s="92"/>
      <c r="D43" s="89">
        <v>160</v>
      </c>
      <c r="E43" s="90">
        <v>162</v>
      </c>
      <c r="F43" s="91">
        <v>162</v>
      </c>
      <c r="G43" s="38">
        <v>162</v>
      </c>
      <c r="H43" s="39"/>
      <c r="I43" s="93"/>
      <c r="J43" s="92"/>
      <c r="K43" s="89">
        <v>360</v>
      </c>
      <c r="L43" s="90">
        <v>348</v>
      </c>
      <c r="M43" s="91">
        <v>348</v>
      </c>
      <c r="N43" s="38">
        <v>348</v>
      </c>
      <c r="O43" s="39"/>
      <c r="P43" s="93"/>
      <c r="Q43" s="92"/>
      <c r="R43" s="89">
        <v>750</v>
      </c>
      <c r="S43" s="90">
        <v>750</v>
      </c>
      <c r="T43" s="91">
        <v>750</v>
      </c>
      <c r="U43" s="38">
        <v>750</v>
      </c>
    </row>
    <row r="44" spans="2:21" x14ac:dyDescent="0.3">
      <c r="B44" s="93"/>
      <c r="C44" s="92"/>
      <c r="D44" s="89"/>
      <c r="E44" s="90"/>
      <c r="F44" s="91"/>
      <c r="G44" s="38">
        <v>164</v>
      </c>
      <c r="H44" s="39"/>
      <c r="I44" s="93"/>
      <c r="J44" s="92"/>
      <c r="K44" s="89"/>
      <c r="L44" s="90"/>
      <c r="M44" s="91"/>
      <c r="N44" s="38">
        <v>352</v>
      </c>
      <c r="O44" s="39"/>
      <c r="P44" s="93"/>
      <c r="Q44" s="92"/>
      <c r="R44" s="89"/>
      <c r="S44" s="90"/>
      <c r="T44" s="91"/>
      <c r="U44" s="38">
        <v>759</v>
      </c>
    </row>
    <row r="45" spans="2:21" x14ac:dyDescent="0.3">
      <c r="B45" s="93"/>
      <c r="C45" s="92"/>
      <c r="D45" s="89"/>
      <c r="E45" s="90"/>
      <c r="F45" s="91">
        <v>165</v>
      </c>
      <c r="G45" s="38">
        <v>165</v>
      </c>
      <c r="H45" s="39"/>
      <c r="I45" s="93"/>
      <c r="J45" s="92"/>
      <c r="K45" s="89"/>
      <c r="L45" s="90"/>
      <c r="M45" s="91">
        <v>357</v>
      </c>
      <c r="N45" s="38">
        <v>357</v>
      </c>
      <c r="O45" s="39"/>
      <c r="P45" s="93"/>
      <c r="Q45" s="92"/>
      <c r="R45" s="89"/>
      <c r="S45" s="90"/>
      <c r="T45" s="91">
        <v>768</v>
      </c>
      <c r="U45" s="38">
        <v>768</v>
      </c>
    </row>
    <row r="46" spans="2:21" x14ac:dyDescent="0.3">
      <c r="B46" s="93"/>
      <c r="C46" s="92"/>
      <c r="D46" s="89"/>
      <c r="E46" s="90"/>
      <c r="F46" s="91"/>
      <c r="G46" s="38">
        <v>167</v>
      </c>
      <c r="H46" s="39"/>
      <c r="I46" s="93"/>
      <c r="J46" s="92"/>
      <c r="K46" s="89"/>
      <c r="L46" s="90"/>
      <c r="M46" s="91"/>
      <c r="N46" s="38">
        <v>361</v>
      </c>
      <c r="O46" s="39"/>
      <c r="P46" s="93"/>
      <c r="Q46" s="92"/>
      <c r="R46" s="89"/>
      <c r="S46" s="90"/>
      <c r="T46" s="91"/>
      <c r="U46" s="38">
        <v>777</v>
      </c>
    </row>
    <row r="47" spans="2:21" x14ac:dyDescent="0.3">
      <c r="B47" s="93"/>
      <c r="C47" s="92"/>
      <c r="D47" s="89"/>
      <c r="E47" s="90">
        <v>169</v>
      </c>
      <c r="F47" s="91">
        <v>169</v>
      </c>
      <c r="G47" s="38">
        <v>169</v>
      </c>
      <c r="H47" s="39"/>
      <c r="I47" s="93"/>
      <c r="J47" s="92"/>
      <c r="K47" s="89"/>
      <c r="L47" s="90">
        <v>365</v>
      </c>
      <c r="M47" s="91">
        <v>365</v>
      </c>
      <c r="N47" s="38">
        <v>365</v>
      </c>
      <c r="O47" s="39"/>
      <c r="P47" s="93"/>
      <c r="Q47" s="92"/>
      <c r="R47" s="89"/>
      <c r="S47" s="90">
        <v>787</v>
      </c>
      <c r="T47" s="91">
        <v>787</v>
      </c>
      <c r="U47" s="38">
        <v>787</v>
      </c>
    </row>
    <row r="48" spans="2:21" x14ac:dyDescent="0.3">
      <c r="B48" s="93"/>
      <c r="C48" s="92"/>
      <c r="D48" s="89"/>
      <c r="E48" s="90"/>
      <c r="F48" s="91"/>
      <c r="G48" s="38">
        <v>172</v>
      </c>
      <c r="H48" s="39"/>
      <c r="I48" s="93"/>
      <c r="J48" s="92"/>
      <c r="K48" s="89"/>
      <c r="L48" s="90"/>
      <c r="M48" s="91"/>
      <c r="N48" s="38">
        <v>370</v>
      </c>
      <c r="O48" s="39"/>
      <c r="P48" s="93"/>
      <c r="Q48" s="92"/>
      <c r="R48" s="89"/>
      <c r="S48" s="90"/>
      <c r="T48" s="91"/>
      <c r="U48" s="38">
        <v>796</v>
      </c>
    </row>
    <row r="49" spans="2:21" x14ac:dyDescent="0.3">
      <c r="B49" s="93"/>
      <c r="C49" s="92"/>
      <c r="D49" s="89"/>
      <c r="E49" s="90"/>
      <c r="F49" s="91">
        <v>174</v>
      </c>
      <c r="G49" s="38">
        <v>174</v>
      </c>
      <c r="H49" s="39"/>
      <c r="I49" s="93"/>
      <c r="J49" s="92"/>
      <c r="K49" s="89"/>
      <c r="L49" s="90"/>
      <c r="M49" s="91">
        <v>374</v>
      </c>
      <c r="N49" s="38">
        <v>374</v>
      </c>
      <c r="O49" s="39"/>
      <c r="P49" s="93"/>
      <c r="Q49" s="92"/>
      <c r="R49" s="89"/>
      <c r="S49" s="90"/>
      <c r="T49" s="91">
        <v>806</v>
      </c>
      <c r="U49" s="38">
        <v>806</v>
      </c>
    </row>
    <row r="50" spans="2:21" x14ac:dyDescent="0.3">
      <c r="B50" s="93"/>
      <c r="C50" s="92"/>
      <c r="D50" s="89"/>
      <c r="E50" s="90"/>
      <c r="F50" s="91"/>
      <c r="G50" s="38">
        <v>176</v>
      </c>
      <c r="H50" s="39"/>
      <c r="I50" s="93"/>
      <c r="J50" s="92"/>
      <c r="K50" s="89"/>
      <c r="L50" s="90"/>
      <c r="M50" s="91"/>
      <c r="N50" s="38">
        <v>379</v>
      </c>
      <c r="O50" s="39"/>
      <c r="P50" s="93"/>
      <c r="Q50" s="92"/>
      <c r="R50" s="89"/>
      <c r="S50" s="90"/>
      <c r="T50" s="91"/>
      <c r="U50" s="38">
        <v>816</v>
      </c>
    </row>
    <row r="51" spans="2:21" x14ac:dyDescent="0.3">
      <c r="B51" s="93"/>
      <c r="C51" s="92">
        <v>180</v>
      </c>
      <c r="D51" s="89">
        <v>180</v>
      </c>
      <c r="E51" s="90">
        <v>178</v>
      </c>
      <c r="F51" s="91">
        <v>178</v>
      </c>
      <c r="G51" s="38">
        <v>178</v>
      </c>
      <c r="H51" s="39"/>
      <c r="I51" s="93"/>
      <c r="J51" s="92">
        <v>390</v>
      </c>
      <c r="K51" s="89">
        <v>390</v>
      </c>
      <c r="L51" s="90">
        <v>383</v>
      </c>
      <c r="M51" s="91">
        <v>383</v>
      </c>
      <c r="N51" s="38">
        <v>383</v>
      </c>
      <c r="O51" s="39"/>
      <c r="P51" s="93"/>
      <c r="Q51" s="92">
        <v>820</v>
      </c>
      <c r="R51" s="89">
        <v>820</v>
      </c>
      <c r="S51" s="90">
        <v>825</v>
      </c>
      <c r="T51" s="91">
        <v>825</v>
      </c>
      <c r="U51" s="38">
        <v>825</v>
      </c>
    </row>
    <row r="52" spans="2:21" x14ac:dyDescent="0.3">
      <c r="B52" s="93"/>
      <c r="C52" s="92"/>
      <c r="D52" s="89"/>
      <c r="E52" s="90"/>
      <c r="F52" s="91"/>
      <c r="G52" s="38">
        <v>180</v>
      </c>
      <c r="H52" s="39"/>
      <c r="I52" s="93"/>
      <c r="J52" s="92"/>
      <c r="K52" s="89"/>
      <c r="L52" s="90"/>
      <c r="M52" s="91"/>
      <c r="N52" s="38">
        <v>388</v>
      </c>
      <c r="O52" s="39"/>
      <c r="P52" s="93"/>
      <c r="Q52" s="92"/>
      <c r="R52" s="89"/>
      <c r="S52" s="90"/>
      <c r="T52" s="91"/>
      <c r="U52" s="38">
        <v>835</v>
      </c>
    </row>
    <row r="53" spans="2:21" x14ac:dyDescent="0.3">
      <c r="B53" s="93"/>
      <c r="C53" s="92"/>
      <c r="D53" s="89"/>
      <c r="E53" s="90"/>
      <c r="F53" s="91">
        <v>182</v>
      </c>
      <c r="G53" s="38">
        <v>182</v>
      </c>
      <c r="H53" s="39"/>
      <c r="I53" s="93"/>
      <c r="J53" s="92"/>
      <c r="K53" s="89"/>
      <c r="L53" s="90"/>
      <c r="M53" s="91">
        <v>392</v>
      </c>
      <c r="N53" s="38">
        <v>392</v>
      </c>
      <c r="O53" s="39"/>
      <c r="P53" s="93"/>
      <c r="Q53" s="92"/>
      <c r="R53" s="89"/>
      <c r="S53" s="90"/>
      <c r="T53" s="91">
        <v>845</v>
      </c>
      <c r="U53" s="38">
        <v>845</v>
      </c>
    </row>
    <row r="54" spans="2:21" x14ac:dyDescent="0.3">
      <c r="B54" s="93"/>
      <c r="C54" s="92"/>
      <c r="D54" s="89"/>
      <c r="E54" s="90"/>
      <c r="F54" s="91"/>
      <c r="G54" s="38">
        <v>184</v>
      </c>
      <c r="H54" s="39"/>
      <c r="I54" s="93"/>
      <c r="J54" s="92"/>
      <c r="K54" s="89"/>
      <c r="L54" s="90"/>
      <c r="M54" s="91"/>
      <c r="N54" s="38">
        <v>397</v>
      </c>
      <c r="O54" s="39"/>
      <c r="P54" s="93"/>
      <c r="Q54" s="92"/>
      <c r="R54" s="89"/>
      <c r="S54" s="90"/>
      <c r="T54" s="91"/>
      <c r="U54" s="38">
        <v>856</v>
      </c>
    </row>
    <row r="55" spans="2:21" x14ac:dyDescent="0.3">
      <c r="B55" s="93"/>
      <c r="C55" s="92"/>
      <c r="D55" s="89"/>
      <c r="E55" s="90">
        <v>187</v>
      </c>
      <c r="F55" s="91">
        <v>187</v>
      </c>
      <c r="G55" s="38">
        <v>187</v>
      </c>
      <c r="H55" s="39"/>
      <c r="I55" s="93"/>
      <c r="J55" s="92"/>
      <c r="K55" s="89"/>
      <c r="L55" s="90">
        <v>402</v>
      </c>
      <c r="M55" s="91">
        <v>402</v>
      </c>
      <c r="N55" s="38">
        <v>402</v>
      </c>
      <c r="O55" s="39"/>
      <c r="P55" s="93"/>
      <c r="Q55" s="92"/>
      <c r="R55" s="89"/>
      <c r="S55" s="90">
        <v>866</v>
      </c>
      <c r="T55" s="91">
        <v>866</v>
      </c>
      <c r="U55" s="38">
        <v>866</v>
      </c>
    </row>
    <row r="56" spans="2:21" x14ac:dyDescent="0.3">
      <c r="B56" s="93"/>
      <c r="C56" s="92"/>
      <c r="D56" s="89"/>
      <c r="E56" s="90"/>
      <c r="F56" s="91"/>
      <c r="G56" s="38">
        <v>189</v>
      </c>
      <c r="H56" s="39"/>
      <c r="I56" s="93"/>
      <c r="J56" s="92"/>
      <c r="K56" s="89"/>
      <c r="L56" s="90"/>
      <c r="M56" s="91"/>
      <c r="N56" s="38">
        <v>407</v>
      </c>
      <c r="O56" s="39"/>
      <c r="P56" s="93"/>
      <c r="Q56" s="92"/>
      <c r="R56" s="89"/>
      <c r="S56" s="90"/>
      <c r="T56" s="91"/>
      <c r="U56" s="38">
        <v>876</v>
      </c>
    </row>
    <row r="57" spans="2:21" x14ac:dyDescent="0.3">
      <c r="B57" s="93"/>
      <c r="C57" s="92"/>
      <c r="D57" s="89"/>
      <c r="E57" s="90"/>
      <c r="F57" s="91">
        <v>191</v>
      </c>
      <c r="G57" s="38">
        <v>191</v>
      </c>
      <c r="H57" s="39"/>
      <c r="I57" s="93"/>
      <c r="J57" s="92"/>
      <c r="K57" s="89"/>
      <c r="L57" s="90"/>
      <c r="M57" s="91">
        <v>412</v>
      </c>
      <c r="N57" s="38">
        <v>412</v>
      </c>
      <c r="O57" s="39"/>
      <c r="P57" s="93"/>
      <c r="Q57" s="92"/>
      <c r="R57" s="89"/>
      <c r="S57" s="90"/>
      <c r="T57" s="91">
        <v>887</v>
      </c>
      <c r="U57" s="38">
        <v>887</v>
      </c>
    </row>
    <row r="58" spans="2:21" x14ac:dyDescent="0.3">
      <c r="B58" s="93"/>
      <c r="C58" s="92"/>
      <c r="D58" s="89"/>
      <c r="E58" s="90"/>
      <c r="F58" s="91"/>
      <c r="G58" s="38">
        <v>193</v>
      </c>
      <c r="H58" s="39"/>
      <c r="I58" s="93"/>
      <c r="J58" s="92"/>
      <c r="K58" s="89"/>
      <c r="L58" s="90"/>
      <c r="M58" s="91"/>
      <c r="N58" s="38">
        <v>417</v>
      </c>
      <c r="O58" s="39"/>
      <c r="P58" s="93"/>
      <c r="Q58" s="92"/>
      <c r="R58" s="89"/>
      <c r="S58" s="90"/>
      <c r="T58" s="91"/>
      <c r="U58" s="38">
        <v>898</v>
      </c>
    </row>
    <row r="59" spans="2:21" x14ac:dyDescent="0.3">
      <c r="B59" s="93"/>
      <c r="C59" s="92"/>
      <c r="D59" s="89">
        <v>200</v>
      </c>
      <c r="E59" s="90">
        <v>196</v>
      </c>
      <c r="F59" s="91">
        <v>196</v>
      </c>
      <c r="G59" s="38">
        <v>196</v>
      </c>
      <c r="H59" s="39"/>
      <c r="I59" s="93"/>
      <c r="J59" s="92"/>
      <c r="K59" s="89">
        <v>430</v>
      </c>
      <c r="L59" s="90">
        <v>422</v>
      </c>
      <c r="M59" s="91">
        <v>422</v>
      </c>
      <c r="N59" s="38">
        <v>422</v>
      </c>
      <c r="O59" s="39"/>
      <c r="P59" s="93"/>
      <c r="Q59" s="92"/>
      <c r="R59" s="89">
        <v>910</v>
      </c>
      <c r="S59" s="90">
        <v>909</v>
      </c>
      <c r="T59" s="91">
        <v>909</v>
      </c>
      <c r="U59" s="38">
        <v>909</v>
      </c>
    </row>
    <row r="60" spans="2:21" x14ac:dyDescent="0.3">
      <c r="B60" s="93"/>
      <c r="C60" s="92"/>
      <c r="D60" s="89"/>
      <c r="E60" s="90"/>
      <c r="F60" s="91"/>
      <c r="G60" s="38">
        <v>198</v>
      </c>
      <c r="H60" s="39"/>
      <c r="I60" s="93"/>
      <c r="J60" s="92"/>
      <c r="K60" s="89"/>
      <c r="L60" s="90"/>
      <c r="M60" s="91"/>
      <c r="N60" s="38">
        <v>427</v>
      </c>
      <c r="O60" s="39"/>
      <c r="P60" s="93"/>
      <c r="Q60" s="92"/>
      <c r="R60" s="89"/>
      <c r="S60" s="90"/>
      <c r="T60" s="91"/>
      <c r="U60" s="38">
        <v>920</v>
      </c>
    </row>
    <row r="61" spans="2:21" x14ac:dyDescent="0.3">
      <c r="B61" s="93"/>
      <c r="C61" s="92"/>
      <c r="D61" s="89"/>
      <c r="E61" s="90"/>
      <c r="F61" s="91">
        <v>200</v>
      </c>
      <c r="G61" s="38">
        <v>200</v>
      </c>
      <c r="H61" s="39"/>
      <c r="I61" s="93"/>
      <c r="J61" s="92"/>
      <c r="K61" s="89"/>
      <c r="L61" s="90"/>
      <c r="M61" s="91">
        <v>432</v>
      </c>
      <c r="N61" s="38">
        <v>432</v>
      </c>
      <c r="O61" s="39"/>
      <c r="P61" s="93"/>
      <c r="Q61" s="92"/>
      <c r="R61" s="89"/>
      <c r="S61" s="90"/>
      <c r="T61" s="91">
        <v>931</v>
      </c>
      <c r="U61" s="38">
        <v>931</v>
      </c>
    </row>
    <row r="62" spans="2:21" x14ac:dyDescent="0.3">
      <c r="B62" s="93"/>
      <c r="C62" s="92"/>
      <c r="D62" s="89"/>
      <c r="E62" s="90"/>
      <c r="F62" s="91"/>
      <c r="G62" s="38">
        <v>203</v>
      </c>
      <c r="H62" s="39"/>
      <c r="I62" s="93"/>
      <c r="J62" s="92"/>
      <c r="K62" s="89"/>
      <c r="L62" s="90"/>
      <c r="M62" s="91"/>
      <c r="N62" s="38">
        <v>437</v>
      </c>
      <c r="O62" s="39"/>
      <c r="P62" s="93"/>
      <c r="Q62" s="92"/>
      <c r="R62" s="89"/>
      <c r="S62" s="90"/>
      <c r="T62" s="91"/>
      <c r="U62" s="38">
        <v>942</v>
      </c>
    </row>
    <row r="63" spans="2:21" x14ac:dyDescent="0.3">
      <c r="B63" s="93"/>
      <c r="C63" s="92"/>
      <c r="D63" s="89"/>
      <c r="E63" s="90">
        <v>205</v>
      </c>
      <c r="F63" s="91">
        <v>205</v>
      </c>
      <c r="G63" s="38">
        <v>205</v>
      </c>
      <c r="H63" s="39"/>
      <c r="I63" s="93"/>
      <c r="J63" s="92"/>
      <c r="K63" s="89"/>
      <c r="L63" s="90">
        <v>442</v>
      </c>
      <c r="M63" s="91">
        <v>442</v>
      </c>
      <c r="N63" s="38">
        <v>442</v>
      </c>
      <c r="O63" s="39"/>
      <c r="P63" s="93"/>
      <c r="Q63" s="92"/>
      <c r="R63" s="89"/>
      <c r="S63" s="90">
        <v>953</v>
      </c>
      <c r="T63" s="91">
        <v>953</v>
      </c>
      <c r="U63" s="38">
        <v>953</v>
      </c>
    </row>
    <row r="64" spans="2:21" x14ac:dyDescent="0.3">
      <c r="B64" s="93"/>
      <c r="C64" s="92"/>
      <c r="D64" s="89"/>
      <c r="E64" s="90"/>
      <c r="F64" s="91"/>
      <c r="G64" s="38">
        <v>208</v>
      </c>
      <c r="H64" s="39"/>
      <c r="I64" s="93"/>
      <c r="J64" s="92"/>
      <c r="K64" s="89"/>
      <c r="L64" s="90"/>
      <c r="M64" s="91"/>
      <c r="N64" s="38">
        <v>448</v>
      </c>
      <c r="O64" s="39"/>
      <c r="P64" s="93"/>
      <c r="Q64" s="92"/>
      <c r="R64" s="89"/>
      <c r="S64" s="90"/>
      <c r="T64" s="91"/>
      <c r="U64" s="38">
        <v>965</v>
      </c>
    </row>
    <row r="65" spans="2:21" x14ac:dyDescent="0.3">
      <c r="B65" s="93"/>
      <c r="C65" s="92"/>
      <c r="D65" s="89"/>
      <c r="E65" s="90"/>
      <c r="F65" s="91">
        <v>210</v>
      </c>
      <c r="G65" s="38">
        <v>210</v>
      </c>
      <c r="H65" s="39"/>
      <c r="I65" s="93"/>
      <c r="J65" s="92"/>
      <c r="K65" s="89"/>
      <c r="L65" s="90"/>
      <c r="M65" s="91">
        <v>453</v>
      </c>
      <c r="N65" s="38">
        <v>453</v>
      </c>
      <c r="O65" s="39"/>
      <c r="P65" s="93"/>
      <c r="Q65" s="92"/>
      <c r="R65" s="89"/>
      <c r="S65" s="90"/>
      <c r="T65" s="91">
        <v>976</v>
      </c>
      <c r="U65" s="38">
        <v>976</v>
      </c>
    </row>
    <row r="66" spans="2:21" x14ac:dyDescent="0.3">
      <c r="B66" s="93"/>
      <c r="C66" s="92"/>
      <c r="D66" s="89"/>
      <c r="E66" s="90"/>
      <c r="F66" s="91"/>
      <c r="G66" s="38">
        <v>213</v>
      </c>
      <c r="H66" s="39"/>
      <c r="I66" s="93"/>
      <c r="J66" s="92"/>
      <c r="K66" s="89"/>
      <c r="L66" s="90"/>
      <c r="M66" s="91"/>
      <c r="N66" s="38">
        <v>459</v>
      </c>
      <c r="O66" s="39"/>
      <c r="P66" s="93"/>
      <c r="Q66" s="92"/>
      <c r="R66" s="89"/>
      <c r="S66" s="90"/>
      <c r="T66" s="91"/>
      <c r="U66" s="38">
        <v>988</v>
      </c>
    </row>
  </sheetData>
  <mergeCells count="186">
    <mergeCell ref="F3:F4"/>
    <mergeCell ref="I3:I34"/>
    <mergeCell ref="E7:E10"/>
    <mergeCell ref="E15:E18"/>
    <mergeCell ref="E23:E26"/>
    <mergeCell ref="E31:E34"/>
    <mergeCell ref="T7:T8"/>
    <mergeCell ref="F9:F10"/>
    <mergeCell ref="M9:M10"/>
    <mergeCell ref="T9:T10"/>
    <mergeCell ref="D11:D18"/>
    <mergeCell ref="E11:E14"/>
    <mergeCell ref="F11:F12"/>
    <mergeCell ref="K11:K18"/>
    <mergeCell ref="L11:L14"/>
    <mergeCell ref="M11:M12"/>
    <mergeCell ref="R3:R10"/>
    <mergeCell ref="S3:S6"/>
    <mergeCell ref="T3:T4"/>
    <mergeCell ref="F5:F6"/>
    <mergeCell ref="M5:M6"/>
    <mergeCell ref="T5:T6"/>
    <mergeCell ref="F7:F8"/>
    <mergeCell ref="L7:L10"/>
    <mergeCell ref="M7:M8"/>
    <mergeCell ref="S7:S10"/>
    <mergeCell ref="J3:J18"/>
    <mergeCell ref="K3:K10"/>
    <mergeCell ref="L3:L6"/>
    <mergeCell ref="M3:M4"/>
    <mergeCell ref="T15:T16"/>
    <mergeCell ref="F17:F18"/>
    <mergeCell ref="M17:M18"/>
    <mergeCell ref="T17:T18"/>
    <mergeCell ref="C19:C34"/>
    <mergeCell ref="D19:D26"/>
    <mergeCell ref="E19:E22"/>
    <mergeCell ref="F19:F20"/>
    <mergeCell ref="J19:J34"/>
    <mergeCell ref="K19:K26"/>
    <mergeCell ref="R11:R18"/>
    <mergeCell ref="S11:S14"/>
    <mergeCell ref="T11:T12"/>
    <mergeCell ref="F13:F14"/>
    <mergeCell ref="M13:M14"/>
    <mergeCell ref="T13:T14"/>
    <mergeCell ref="F15:F16"/>
    <mergeCell ref="L15:L18"/>
    <mergeCell ref="M15:M16"/>
    <mergeCell ref="S15:S18"/>
    <mergeCell ref="P3:P34"/>
    <mergeCell ref="Q3:Q18"/>
    <mergeCell ref="L19:L22"/>
    <mergeCell ref="M19:M20"/>
    <mergeCell ref="T23:T24"/>
    <mergeCell ref="F25:F26"/>
    <mergeCell ref="M25:M26"/>
    <mergeCell ref="T25:T26"/>
    <mergeCell ref="D27:D34"/>
    <mergeCell ref="E27:E30"/>
    <mergeCell ref="F27:F28"/>
    <mergeCell ref="K27:K34"/>
    <mergeCell ref="L27:L30"/>
    <mergeCell ref="M27:M28"/>
    <mergeCell ref="R19:R26"/>
    <mergeCell ref="S19:S22"/>
    <mergeCell ref="T19:T20"/>
    <mergeCell ref="F21:F22"/>
    <mergeCell ref="M21:M22"/>
    <mergeCell ref="T21:T22"/>
    <mergeCell ref="F23:F24"/>
    <mergeCell ref="L23:L26"/>
    <mergeCell ref="M23:M24"/>
    <mergeCell ref="S23:S26"/>
    <mergeCell ref="Q19:Q34"/>
    <mergeCell ref="T31:T32"/>
    <mergeCell ref="F33:F34"/>
    <mergeCell ref="M33:M34"/>
    <mergeCell ref="T33:T34"/>
    <mergeCell ref="B35:B66"/>
    <mergeCell ref="C35:C50"/>
    <mergeCell ref="D35:D42"/>
    <mergeCell ref="E35:E38"/>
    <mergeCell ref="F35:F36"/>
    <mergeCell ref="I35:I66"/>
    <mergeCell ref="R27:R34"/>
    <mergeCell ref="S27:S30"/>
    <mergeCell ref="T27:T28"/>
    <mergeCell ref="F29:F30"/>
    <mergeCell ref="M29:M30"/>
    <mergeCell ref="T29:T30"/>
    <mergeCell ref="F31:F32"/>
    <mergeCell ref="L31:L34"/>
    <mergeCell ref="M31:M32"/>
    <mergeCell ref="S31:S34"/>
    <mergeCell ref="B3:B34"/>
    <mergeCell ref="C3:C18"/>
    <mergeCell ref="D3:D10"/>
    <mergeCell ref="E3:E6"/>
    <mergeCell ref="L43:L46"/>
    <mergeCell ref="M43:M44"/>
    <mergeCell ref="E47:E50"/>
    <mergeCell ref="E39:E42"/>
    <mergeCell ref="F39:F40"/>
    <mergeCell ref="L39:L42"/>
    <mergeCell ref="M39:M40"/>
    <mergeCell ref="S39:S42"/>
    <mergeCell ref="T39:T40"/>
    <mergeCell ref="F41:F42"/>
    <mergeCell ref="M41:M42"/>
    <mergeCell ref="T41:T42"/>
    <mergeCell ref="R35:R42"/>
    <mergeCell ref="S35:S38"/>
    <mergeCell ref="T35:T36"/>
    <mergeCell ref="F37:F38"/>
    <mergeCell ref="M37:M38"/>
    <mergeCell ref="T37:T38"/>
    <mergeCell ref="J35:J50"/>
    <mergeCell ref="K35:K42"/>
    <mergeCell ref="L35:L38"/>
    <mergeCell ref="M35:M36"/>
    <mergeCell ref="P35:P66"/>
    <mergeCell ref="Q35:Q50"/>
    <mergeCell ref="T47:T48"/>
    <mergeCell ref="F49:F50"/>
    <mergeCell ref="M49:M50"/>
    <mergeCell ref="T49:T50"/>
    <mergeCell ref="C51:C66"/>
    <mergeCell ref="D51:D58"/>
    <mergeCell ref="E51:E54"/>
    <mergeCell ref="F51:F52"/>
    <mergeCell ref="J51:J66"/>
    <mergeCell ref="K51:K58"/>
    <mergeCell ref="R43:R50"/>
    <mergeCell ref="S43:S46"/>
    <mergeCell ref="T43:T44"/>
    <mergeCell ref="F45:F46"/>
    <mergeCell ref="M45:M46"/>
    <mergeCell ref="T45:T46"/>
    <mergeCell ref="F47:F48"/>
    <mergeCell ref="L47:L50"/>
    <mergeCell ref="M47:M48"/>
    <mergeCell ref="S47:S50"/>
    <mergeCell ref="D43:D50"/>
    <mergeCell ref="E43:E46"/>
    <mergeCell ref="F43:F44"/>
    <mergeCell ref="K43:K50"/>
    <mergeCell ref="S55:S58"/>
    <mergeCell ref="T55:T56"/>
    <mergeCell ref="F57:F58"/>
    <mergeCell ref="M57:M58"/>
    <mergeCell ref="T57:T58"/>
    <mergeCell ref="R51:R58"/>
    <mergeCell ref="S51:S54"/>
    <mergeCell ref="T51:T52"/>
    <mergeCell ref="F53:F54"/>
    <mergeCell ref="M53:M54"/>
    <mergeCell ref="T53:T54"/>
    <mergeCell ref="L51:L54"/>
    <mergeCell ref="M51:M52"/>
    <mergeCell ref="Q51:Q66"/>
    <mergeCell ref="T63:T64"/>
    <mergeCell ref="T65:T66"/>
    <mergeCell ref="R59:R66"/>
    <mergeCell ref="S59:S62"/>
    <mergeCell ref="T59:T60"/>
    <mergeCell ref="T61:T62"/>
    <mergeCell ref="S63:S66"/>
    <mergeCell ref="D59:D66"/>
    <mergeCell ref="E59:E62"/>
    <mergeCell ref="F59:F60"/>
    <mergeCell ref="K59:K66"/>
    <mergeCell ref="L59:L62"/>
    <mergeCell ref="M59:M60"/>
    <mergeCell ref="E63:E66"/>
    <mergeCell ref="E55:E58"/>
    <mergeCell ref="F55:F56"/>
    <mergeCell ref="L55:L58"/>
    <mergeCell ref="M55:M56"/>
    <mergeCell ref="F65:F66"/>
    <mergeCell ref="M65:M66"/>
    <mergeCell ref="F61:F62"/>
    <mergeCell ref="M61:M62"/>
    <mergeCell ref="F63:F64"/>
    <mergeCell ref="L63:L66"/>
    <mergeCell ref="M63:M64"/>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35C9AA-9931-4911-B20D-86B3B5AF3D6D}">
  <dimension ref="B2:L28"/>
  <sheetViews>
    <sheetView zoomScaleNormal="100" workbookViewId="0">
      <selection activeCell="O21" sqref="O21"/>
    </sheetView>
  </sheetViews>
  <sheetFormatPr defaultRowHeight="14.4" x14ac:dyDescent="0.3"/>
  <sheetData>
    <row r="2" spans="2:12" x14ac:dyDescent="0.3">
      <c r="B2" t="s">
        <v>128</v>
      </c>
    </row>
    <row r="3" spans="2:12" x14ac:dyDescent="0.3">
      <c r="B3" s="40" t="s">
        <v>9</v>
      </c>
      <c r="C3" s="41" t="s">
        <v>9</v>
      </c>
      <c r="D3" s="35" t="s">
        <v>9</v>
      </c>
      <c r="E3" s="36" t="s">
        <v>9</v>
      </c>
      <c r="F3" s="38" t="s">
        <v>49</v>
      </c>
      <c r="G3" s="38" t="s">
        <v>49</v>
      </c>
      <c r="H3" s="38" t="s">
        <v>49</v>
      </c>
      <c r="I3" s="38" t="s">
        <v>49</v>
      </c>
      <c r="J3" s="38" t="s">
        <v>49</v>
      </c>
      <c r="K3" s="38" t="s">
        <v>49</v>
      </c>
      <c r="L3" s="38" t="s">
        <v>49</v>
      </c>
    </row>
    <row r="4" spans="2:12" x14ac:dyDescent="0.3">
      <c r="B4" s="33">
        <v>1</v>
      </c>
      <c r="C4" s="34">
        <f t="shared" ref="C4:C28" si="0">10*B4</f>
        <v>10</v>
      </c>
      <c r="D4" s="35">
        <f t="shared" ref="D4:E28" si="1">C4*10</f>
        <v>100</v>
      </c>
      <c r="E4" s="36">
        <f t="shared" si="1"/>
        <v>1000</v>
      </c>
      <c r="F4" s="38">
        <v>0.01</v>
      </c>
      <c r="G4" s="38">
        <f t="shared" ref="G4:L4" si="2">F4*10</f>
        <v>0.1</v>
      </c>
      <c r="H4" s="38">
        <f t="shared" si="2"/>
        <v>1</v>
      </c>
      <c r="I4" s="38">
        <f t="shared" si="2"/>
        <v>10</v>
      </c>
      <c r="J4" s="38">
        <f t="shared" si="2"/>
        <v>100</v>
      </c>
      <c r="K4" s="38">
        <f t="shared" si="2"/>
        <v>1000</v>
      </c>
      <c r="L4" s="38">
        <f t="shared" si="2"/>
        <v>10000</v>
      </c>
    </row>
    <row r="5" spans="2:12" x14ac:dyDescent="0.3">
      <c r="B5" s="33">
        <v>1.1000000000000001</v>
      </c>
      <c r="C5" s="34">
        <f t="shared" si="0"/>
        <v>11</v>
      </c>
      <c r="D5" s="35">
        <f t="shared" si="1"/>
        <v>110</v>
      </c>
      <c r="E5" s="36">
        <f t="shared" si="1"/>
        <v>1100</v>
      </c>
      <c r="F5" s="38"/>
      <c r="G5" s="38"/>
      <c r="H5" s="38"/>
      <c r="I5" s="38"/>
      <c r="J5" s="38"/>
      <c r="K5" s="38"/>
      <c r="L5" s="38"/>
    </row>
    <row r="6" spans="2:12" x14ac:dyDescent="0.3">
      <c r="B6" s="33">
        <v>1.2</v>
      </c>
      <c r="C6" s="34">
        <f t="shared" si="0"/>
        <v>12</v>
      </c>
      <c r="D6" s="35">
        <f t="shared" si="1"/>
        <v>120</v>
      </c>
      <c r="E6" s="36">
        <f t="shared" si="1"/>
        <v>1200</v>
      </c>
      <c r="F6" s="38"/>
      <c r="G6" s="38"/>
      <c r="H6" s="38"/>
      <c r="I6" s="38"/>
      <c r="J6" s="38"/>
      <c r="K6" s="38"/>
      <c r="L6" s="38"/>
    </row>
    <row r="7" spans="2:12" x14ac:dyDescent="0.3">
      <c r="B7" s="33">
        <v>1.3</v>
      </c>
      <c r="C7" s="34">
        <f t="shared" si="0"/>
        <v>13</v>
      </c>
      <c r="D7" s="35">
        <f t="shared" si="1"/>
        <v>130</v>
      </c>
      <c r="E7" s="36">
        <f t="shared" si="1"/>
        <v>1300</v>
      </c>
      <c r="F7" s="38"/>
      <c r="G7" s="38"/>
      <c r="H7" s="38"/>
      <c r="I7" s="38"/>
      <c r="J7" s="38"/>
      <c r="K7" s="38"/>
      <c r="L7" s="38"/>
    </row>
    <row r="8" spans="2:12" x14ac:dyDescent="0.3">
      <c r="B8" s="33">
        <v>1.5</v>
      </c>
      <c r="C8" s="34">
        <f t="shared" si="0"/>
        <v>15</v>
      </c>
      <c r="D8" s="35">
        <f t="shared" si="1"/>
        <v>150</v>
      </c>
      <c r="E8" s="36">
        <f t="shared" si="1"/>
        <v>1500</v>
      </c>
      <c r="F8" s="38">
        <v>0.05</v>
      </c>
      <c r="G8" s="38">
        <f t="shared" ref="G8:L8" si="3">F8*10</f>
        <v>0.5</v>
      </c>
      <c r="H8" s="38">
        <f t="shared" si="3"/>
        <v>5</v>
      </c>
      <c r="I8" s="38">
        <f t="shared" si="3"/>
        <v>50</v>
      </c>
      <c r="J8" s="38">
        <f t="shared" si="3"/>
        <v>500</v>
      </c>
      <c r="K8" s="38">
        <f t="shared" si="3"/>
        <v>5000</v>
      </c>
      <c r="L8" s="38">
        <f t="shared" si="3"/>
        <v>50000</v>
      </c>
    </row>
    <row r="9" spans="2:12" x14ac:dyDescent="0.3">
      <c r="B9" s="33">
        <v>1.6</v>
      </c>
      <c r="C9" s="34">
        <f t="shared" si="0"/>
        <v>16</v>
      </c>
      <c r="D9" s="35">
        <f t="shared" si="1"/>
        <v>160</v>
      </c>
      <c r="E9" s="36">
        <f t="shared" si="1"/>
        <v>1600</v>
      </c>
      <c r="F9" s="38"/>
      <c r="G9" s="38"/>
      <c r="H9" s="38"/>
      <c r="I9" s="38"/>
      <c r="J9" s="38"/>
      <c r="K9" s="38"/>
      <c r="L9" s="38"/>
    </row>
    <row r="10" spans="2:12" x14ac:dyDescent="0.3">
      <c r="B10" s="33">
        <v>1.8</v>
      </c>
      <c r="C10" s="34">
        <f t="shared" si="0"/>
        <v>18</v>
      </c>
      <c r="D10" s="35">
        <f t="shared" si="1"/>
        <v>180</v>
      </c>
      <c r="E10" s="36">
        <f t="shared" si="1"/>
        <v>1800</v>
      </c>
      <c r="F10" s="38"/>
      <c r="G10" s="38"/>
      <c r="H10" s="38"/>
      <c r="I10" s="38"/>
      <c r="J10" s="38"/>
      <c r="K10" s="38"/>
      <c r="L10" s="38"/>
    </row>
    <row r="11" spans="2:12" x14ac:dyDescent="0.3">
      <c r="B11" s="33">
        <v>2</v>
      </c>
      <c r="C11" s="34">
        <f t="shared" si="0"/>
        <v>20</v>
      </c>
      <c r="D11" s="35">
        <f t="shared" si="1"/>
        <v>200</v>
      </c>
      <c r="E11" s="36">
        <f t="shared" si="1"/>
        <v>2000</v>
      </c>
      <c r="F11" s="38"/>
      <c r="G11" s="38"/>
      <c r="H11" s="38"/>
      <c r="I11" s="38"/>
      <c r="J11" s="38"/>
      <c r="K11" s="38"/>
      <c r="L11" s="38"/>
    </row>
    <row r="12" spans="2:12" x14ac:dyDescent="0.3">
      <c r="B12" s="33">
        <v>2.2000000000000002</v>
      </c>
      <c r="C12" s="34">
        <f t="shared" si="0"/>
        <v>22</v>
      </c>
      <c r="D12" s="35">
        <f t="shared" si="1"/>
        <v>220</v>
      </c>
      <c r="E12" s="36">
        <f t="shared" si="1"/>
        <v>2200</v>
      </c>
      <c r="F12" s="38">
        <v>2.1999999999999999E-2</v>
      </c>
      <c r="G12" s="38">
        <f t="shared" ref="G12:L12" si="4">F12*10</f>
        <v>0.21999999999999997</v>
      </c>
      <c r="H12" s="38">
        <f t="shared" si="4"/>
        <v>2.1999999999999997</v>
      </c>
      <c r="I12" s="38">
        <f t="shared" si="4"/>
        <v>21.999999999999996</v>
      </c>
      <c r="J12" s="38">
        <f t="shared" si="4"/>
        <v>219.99999999999997</v>
      </c>
      <c r="K12" s="38">
        <f t="shared" si="4"/>
        <v>2199.9999999999995</v>
      </c>
      <c r="L12" s="38">
        <f t="shared" si="4"/>
        <v>21999.999999999996</v>
      </c>
    </row>
    <row r="13" spans="2:12" x14ac:dyDescent="0.3">
      <c r="B13" s="33">
        <v>2.4</v>
      </c>
      <c r="C13" s="34">
        <f t="shared" si="0"/>
        <v>24</v>
      </c>
      <c r="D13" s="35">
        <f t="shared" si="1"/>
        <v>240</v>
      </c>
      <c r="E13" s="36">
        <f t="shared" si="1"/>
        <v>2400</v>
      </c>
      <c r="F13" s="38"/>
      <c r="G13" s="38"/>
      <c r="H13" s="38"/>
      <c r="I13" s="38"/>
      <c r="J13" s="38"/>
      <c r="K13" s="38"/>
      <c r="L13" s="38"/>
    </row>
    <row r="14" spans="2:12" x14ac:dyDescent="0.3">
      <c r="B14" s="33">
        <v>2.7</v>
      </c>
      <c r="C14" s="34">
        <f t="shared" si="0"/>
        <v>27</v>
      </c>
      <c r="D14" s="35">
        <f t="shared" si="1"/>
        <v>270</v>
      </c>
      <c r="E14" s="36">
        <f t="shared" si="1"/>
        <v>2700</v>
      </c>
      <c r="F14" s="38"/>
      <c r="G14" s="38"/>
      <c r="H14" s="38"/>
      <c r="I14" s="38"/>
      <c r="J14" s="38"/>
      <c r="K14" s="38"/>
      <c r="L14" s="38"/>
    </row>
    <row r="15" spans="2:12" x14ac:dyDescent="0.3">
      <c r="B15" s="33">
        <v>3</v>
      </c>
      <c r="C15" s="34">
        <f t="shared" si="0"/>
        <v>30</v>
      </c>
      <c r="D15" s="35">
        <f t="shared" si="1"/>
        <v>300</v>
      </c>
      <c r="E15" s="36">
        <f t="shared" si="1"/>
        <v>3000</v>
      </c>
      <c r="F15" s="38"/>
      <c r="G15" s="38"/>
      <c r="H15" s="38"/>
      <c r="I15" s="38"/>
      <c r="J15" s="38"/>
      <c r="K15" s="38"/>
      <c r="L15" s="38"/>
    </row>
    <row r="16" spans="2:12" x14ac:dyDescent="0.3">
      <c r="B16" s="33">
        <v>3.1</v>
      </c>
      <c r="C16" s="34">
        <f t="shared" si="0"/>
        <v>31</v>
      </c>
      <c r="D16" s="35">
        <f t="shared" si="1"/>
        <v>310</v>
      </c>
      <c r="E16" s="36">
        <f t="shared" si="1"/>
        <v>3100</v>
      </c>
      <c r="F16" s="38"/>
      <c r="G16" s="38"/>
      <c r="H16" s="38"/>
      <c r="I16" s="38"/>
      <c r="J16" s="38"/>
      <c r="K16" s="38"/>
      <c r="L16" s="38"/>
    </row>
    <row r="17" spans="2:12" x14ac:dyDescent="0.3">
      <c r="B17" s="33">
        <v>3.3</v>
      </c>
      <c r="C17" s="34">
        <f t="shared" si="0"/>
        <v>33</v>
      </c>
      <c r="D17" s="35">
        <f t="shared" si="1"/>
        <v>330</v>
      </c>
      <c r="E17" s="36">
        <f t="shared" si="1"/>
        <v>3300</v>
      </c>
      <c r="F17" s="38">
        <v>3.3000000000000002E-2</v>
      </c>
      <c r="G17" s="38">
        <f t="shared" ref="G17:L17" si="5">F17*10</f>
        <v>0.33</v>
      </c>
      <c r="H17" s="38">
        <f t="shared" si="5"/>
        <v>3.3000000000000003</v>
      </c>
      <c r="I17" s="38">
        <f t="shared" si="5"/>
        <v>33</v>
      </c>
      <c r="J17" s="38">
        <f t="shared" si="5"/>
        <v>330</v>
      </c>
      <c r="K17" s="38">
        <f t="shared" si="5"/>
        <v>3300</v>
      </c>
      <c r="L17" s="38">
        <f t="shared" si="5"/>
        <v>33000</v>
      </c>
    </row>
    <row r="18" spans="2:12" x14ac:dyDescent="0.3">
      <c r="B18" s="33">
        <v>3.6</v>
      </c>
      <c r="C18" s="34">
        <f t="shared" si="0"/>
        <v>36</v>
      </c>
      <c r="D18" s="35">
        <f t="shared" si="1"/>
        <v>360</v>
      </c>
      <c r="E18" s="36">
        <f t="shared" si="1"/>
        <v>3600</v>
      </c>
      <c r="F18" s="38"/>
      <c r="G18" s="38"/>
      <c r="H18" s="38"/>
      <c r="I18" s="38"/>
      <c r="J18" s="38"/>
      <c r="K18" s="38"/>
      <c r="L18" s="38"/>
    </row>
    <row r="19" spans="2:12" x14ac:dyDescent="0.3">
      <c r="B19" s="33">
        <v>3.9</v>
      </c>
      <c r="C19" s="34">
        <f t="shared" si="0"/>
        <v>39</v>
      </c>
      <c r="D19" s="35">
        <f t="shared" si="1"/>
        <v>390</v>
      </c>
      <c r="E19" s="36">
        <f t="shared" si="1"/>
        <v>3900</v>
      </c>
      <c r="F19" s="38"/>
      <c r="G19" s="38"/>
      <c r="H19" s="38"/>
      <c r="I19" s="38"/>
      <c r="J19" s="38"/>
      <c r="K19" s="38"/>
      <c r="L19" s="38"/>
    </row>
    <row r="20" spans="2:12" x14ac:dyDescent="0.3">
      <c r="B20" s="33">
        <v>4.3</v>
      </c>
      <c r="C20" s="34">
        <f t="shared" si="0"/>
        <v>43</v>
      </c>
      <c r="D20" s="35">
        <f t="shared" si="1"/>
        <v>430</v>
      </c>
      <c r="E20" s="36">
        <f t="shared" si="1"/>
        <v>4300</v>
      </c>
      <c r="F20" s="38"/>
      <c r="G20" s="38"/>
      <c r="H20" s="38"/>
      <c r="I20" s="38"/>
      <c r="J20" s="38"/>
      <c r="K20" s="38"/>
      <c r="L20" s="38"/>
    </row>
    <row r="21" spans="2:12" x14ac:dyDescent="0.3">
      <c r="B21" s="33">
        <v>4.6999999999999904</v>
      </c>
      <c r="C21" s="34">
        <f t="shared" si="0"/>
        <v>46.999999999999901</v>
      </c>
      <c r="D21" s="35">
        <f t="shared" si="1"/>
        <v>469.99999999999898</v>
      </c>
      <c r="E21" s="36">
        <f t="shared" si="1"/>
        <v>4699.99999999999</v>
      </c>
      <c r="F21" s="38">
        <v>4.7E-2</v>
      </c>
      <c r="G21" s="38">
        <f t="shared" ref="G21:L21" si="6">F21*10</f>
        <v>0.47</v>
      </c>
      <c r="H21" s="38">
        <f t="shared" si="6"/>
        <v>4.6999999999999993</v>
      </c>
      <c r="I21" s="38">
        <f t="shared" si="6"/>
        <v>46.999999999999993</v>
      </c>
      <c r="J21" s="38">
        <f t="shared" si="6"/>
        <v>469.99999999999994</v>
      </c>
      <c r="K21" s="38">
        <f t="shared" si="6"/>
        <v>4699.9999999999991</v>
      </c>
      <c r="L21" s="38">
        <f t="shared" si="6"/>
        <v>46999.999999999993</v>
      </c>
    </row>
    <row r="22" spans="2:12" x14ac:dyDescent="0.3">
      <c r="B22" s="33">
        <v>5.0999999999999899</v>
      </c>
      <c r="C22" s="34">
        <f t="shared" si="0"/>
        <v>50.999999999999901</v>
      </c>
      <c r="D22" s="35">
        <f t="shared" si="1"/>
        <v>509.99999999999898</v>
      </c>
      <c r="E22" s="36">
        <f t="shared" si="1"/>
        <v>5099.99999999999</v>
      </c>
      <c r="F22" s="38"/>
      <c r="G22" s="38"/>
      <c r="H22" s="38"/>
      <c r="I22" s="38"/>
      <c r="J22" s="38"/>
      <c r="K22" s="38"/>
      <c r="L22" s="38"/>
    </row>
    <row r="23" spans="2:12" x14ac:dyDescent="0.3">
      <c r="B23" s="33">
        <v>5.5999999999999899</v>
      </c>
      <c r="C23" s="34">
        <f t="shared" si="0"/>
        <v>55.999999999999901</v>
      </c>
      <c r="D23" s="35">
        <f t="shared" si="1"/>
        <v>559.99999999999898</v>
      </c>
      <c r="E23" s="36">
        <f t="shared" si="1"/>
        <v>5599.99999999999</v>
      </c>
      <c r="F23" s="38"/>
      <c r="G23" s="38"/>
      <c r="H23" s="38"/>
      <c r="I23" s="38"/>
      <c r="J23" s="38"/>
      <c r="K23" s="38"/>
      <c r="L23" s="38"/>
    </row>
    <row r="24" spans="2:12" x14ac:dyDescent="0.3">
      <c r="B24" s="33">
        <v>6.2</v>
      </c>
      <c r="C24" s="34">
        <f t="shared" si="0"/>
        <v>62</v>
      </c>
      <c r="D24" s="35">
        <f t="shared" si="1"/>
        <v>620</v>
      </c>
      <c r="E24" s="36">
        <f t="shared" si="1"/>
        <v>6200</v>
      </c>
      <c r="F24" s="38"/>
      <c r="G24" s="38"/>
      <c r="H24" s="38"/>
      <c r="I24" s="38"/>
      <c r="J24" s="38"/>
      <c r="K24" s="38"/>
      <c r="L24" s="38"/>
    </row>
    <row r="25" spans="2:12" x14ac:dyDescent="0.3">
      <c r="B25" s="33">
        <v>6.8</v>
      </c>
      <c r="C25" s="34">
        <f t="shared" si="0"/>
        <v>68</v>
      </c>
      <c r="D25" s="35">
        <f t="shared" si="1"/>
        <v>680</v>
      </c>
      <c r="E25" s="36">
        <f t="shared" si="1"/>
        <v>6800</v>
      </c>
      <c r="F25" s="38">
        <v>6.8000000000000005E-2</v>
      </c>
      <c r="G25" s="38">
        <f t="shared" ref="G25:L25" si="7">F25*10</f>
        <v>0.68</v>
      </c>
      <c r="H25" s="38">
        <f t="shared" si="7"/>
        <v>6.8000000000000007</v>
      </c>
      <c r="I25" s="38">
        <f t="shared" si="7"/>
        <v>68</v>
      </c>
      <c r="J25" s="38">
        <f t="shared" si="7"/>
        <v>680</v>
      </c>
      <c r="K25" s="38">
        <f t="shared" si="7"/>
        <v>6800</v>
      </c>
      <c r="L25" s="38">
        <f t="shared" si="7"/>
        <v>68000</v>
      </c>
    </row>
    <row r="26" spans="2:12" x14ac:dyDescent="0.3">
      <c r="B26" s="33">
        <v>7.5</v>
      </c>
      <c r="C26" s="34">
        <f t="shared" si="0"/>
        <v>75</v>
      </c>
      <c r="D26" s="35">
        <f t="shared" si="1"/>
        <v>750</v>
      </c>
      <c r="E26" s="36">
        <f t="shared" si="1"/>
        <v>7500</v>
      </c>
      <c r="F26" s="38"/>
      <c r="G26" s="38"/>
      <c r="H26" s="38"/>
      <c r="I26" s="38"/>
      <c r="J26" s="38"/>
      <c r="K26" s="38"/>
      <c r="L26" s="38"/>
    </row>
    <row r="27" spans="2:12" x14ac:dyDescent="0.3">
      <c r="B27" s="33">
        <v>8.2000000000000099</v>
      </c>
      <c r="C27" s="34">
        <f t="shared" si="0"/>
        <v>82.000000000000099</v>
      </c>
      <c r="D27" s="35">
        <f t="shared" si="1"/>
        <v>820.00000000000102</v>
      </c>
      <c r="E27" s="36">
        <f t="shared" si="1"/>
        <v>8200.0000000000109</v>
      </c>
      <c r="F27" s="38"/>
      <c r="G27" s="38"/>
      <c r="H27" s="38"/>
      <c r="I27" s="38"/>
      <c r="J27" s="38"/>
      <c r="K27" s="38"/>
      <c r="L27" s="38"/>
    </row>
    <row r="28" spans="2:12" x14ac:dyDescent="0.3">
      <c r="B28" s="33">
        <v>9.1</v>
      </c>
      <c r="C28" s="34">
        <f t="shared" si="0"/>
        <v>91</v>
      </c>
      <c r="D28" s="35">
        <f t="shared" si="1"/>
        <v>910</v>
      </c>
      <c r="E28" s="36">
        <f t="shared" si="1"/>
        <v>9100</v>
      </c>
      <c r="F28" s="38"/>
      <c r="G28" s="38"/>
      <c r="H28" s="38"/>
      <c r="I28" s="38"/>
      <c r="J28" s="38"/>
      <c r="K28" s="38"/>
      <c r="L28" s="38"/>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8F98BD-38C3-4965-A9F5-B2B896BCF06E}">
  <dimension ref="B3:D9"/>
  <sheetViews>
    <sheetView workbookViewId="0">
      <selection activeCell="D10" sqref="D10"/>
    </sheetView>
  </sheetViews>
  <sheetFormatPr defaultRowHeight="14.4" x14ac:dyDescent="0.3"/>
  <cols>
    <col min="2" max="2" width="10.6640625" bestFit="1" customWidth="1"/>
    <col min="4" max="4" width="72.6640625" customWidth="1"/>
  </cols>
  <sheetData>
    <row r="3" spans="2:4" x14ac:dyDescent="0.3">
      <c r="B3" s="24" t="s">
        <v>315</v>
      </c>
      <c r="C3" s="24" t="s">
        <v>316</v>
      </c>
      <c r="D3" s="24" t="s">
        <v>317</v>
      </c>
    </row>
    <row r="4" spans="2:4" ht="15" customHeight="1" x14ac:dyDescent="0.3">
      <c r="B4" s="96">
        <v>45258</v>
      </c>
      <c r="C4" s="95">
        <v>4.0999999999999996</v>
      </c>
      <c r="D4" s="94" t="s">
        <v>318</v>
      </c>
    </row>
    <row r="5" spans="2:4" x14ac:dyDescent="0.3">
      <c r="B5" s="96"/>
      <c r="C5" s="95"/>
      <c r="D5" s="94"/>
    </row>
    <row r="6" spans="2:4" x14ac:dyDescent="0.3">
      <c r="B6" s="96"/>
      <c r="C6" s="95"/>
      <c r="D6" s="94"/>
    </row>
    <row r="7" spans="2:4" ht="129.6" x14ac:dyDescent="0.3">
      <c r="B7" s="75">
        <v>45368</v>
      </c>
      <c r="C7" s="74">
        <v>5</v>
      </c>
      <c r="D7" s="76" t="s">
        <v>422</v>
      </c>
    </row>
    <row r="8" spans="2:4" ht="28.8" x14ac:dyDescent="0.3">
      <c r="B8" s="75">
        <v>45386</v>
      </c>
      <c r="C8" s="74">
        <v>5.0999999999999996</v>
      </c>
      <c r="D8" s="76" t="s">
        <v>446</v>
      </c>
    </row>
    <row r="9" spans="2:4" ht="57.6" x14ac:dyDescent="0.3">
      <c r="B9" s="75">
        <v>45730</v>
      </c>
      <c r="C9" s="74">
        <v>5.2</v>
      </c>
      <c r="D9" s="76" t="s">
        <v>447</v>
      </c>
    </row>
  </sheetData>
  <mergeCells count="3">
    <mergeCell ref="D4:D6"/>
    <mergeCell ref="C4:C6"/>
    <mergeCell ref="B4:B6"/>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Main</vt:lpstr>
      <vt:lpstr>COUT Network Design</vt:lpstr>
      <vt:lpstr>CIN Network Design</vt:lpstr>
      <vt:lpstr>BOM</vt:lpstr>
      <vt:lpstr>DS Parameters</vt:lpstr>
      <vt:lpstr>Capacitor Impedance</vt:lpstr>
      <vt:lpstr>Common Resistor Values</vt:lpstr>
      <vt:lpstr>Common Capacitor Values</vt:lpstr>
      <vt:lpstr>Revision History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2023-10-04T15:59:46Z</dcterms:created>
  <dcterms:modified xsi:type="dcterms:W3CDTF">2025-03-14T14:37:08Z</dcterms:modified>
</cp:coreProperties>
</file>