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a5126966\Downloads\"/>
    </mc:Choice>
  </mc:AlternateContent>
  <xr:revisionPtr revIDLastSave="0" documentId="13_ncr:1_{91EAE7A6-775C-4595-AEC9-421FB55A8EF2}" xr6:coauthVersionLast="47" xr6:coauthVersionMax="47" xr10:uidLastSave="{00000000-0000-0000-0000-000000000000}"/>
  <bookViews>
    <workbookView xWindow="1900" yWindow="2830" windowWidth="31430" windowHeight="15870" xr2:uid="{0EAF95A2-2CB5-48A2-84D1-095B029101CC}"/>
  </bookViews>
  <sheets>
    <sheet name="Main" sheetId="6" r:id="rId1"/>
    <sheet name="Lookup Table" sheetId="4" r:id="rId2"/>
    <sheet name="Revision History" sheetId="7" r:id="rId3"/>
  </sheets>
  <definedNames>
    <definedName name="C_1">'Lookup Table'!$I$55</definedName>
    <definedName name="C_2">'Lookup Table'!$I$56</definedName>
    <definedName name="CT_sel">'Lookup Table'!$I$50</definedName>
    <definedName name="CT_values">'Lookup Table'!$E$5:$J$5</definedName>
    <definedName name="DC_11">'Lookup Table'!$N$60</definedName>
    <definedName name="DC_12">'Lookup Table'!$N$61</definedName>
    <definedName name="DC_21">'Lookup Table'!$N$62</definedName>
    <definedName name="DC_22">'Lookup Table'!$N$63</definedName>
    <definedName name="DC_values">'Lookup Table'!$P$6:$U$12</definedName>
    <definedName name="F_11">'Lookup Table'!$I$60</definedName>
    <definedName name="F_12">'Lookup Table'!$I$61</definedName>
    <definedName name="F_21">'Lookup Table'!$I$62</definedName>
    <definedName name="F_22">'Lookup Table'!$I$63</definedName>
    <definedName name="fosc_values">'Lookup Table'!$E$6:$J$12</definedName>
    <definedName name="ontime_values">'Lookup Table'!$AP$7:$AU$13</definedName>
    <definedName name="OT_11">'Lookup Table'!$AI$36</definedName>
    <definedName name="OT_12">'Lookup Table'!$AI$37</definedName>
    <definedName name="OT_21">'Lookup Table'!$AI$38</definedName>
    <definedName name="OT_22">'Lookup Table'!$AI$39</definedName>
    <definedName name="R_1">'Lookup Table'!$I$57</definedName>
    <definedName name="R_2">'Lookup Table'!$I$58</definedName>
    <definedName name="RT_sel">'Lookup Table'!$I$51</definedName>
    <definedName name="RT_values">'Lookup Table'!$D$6:$D$12</definedName>
    <definedName name="T_11">'Lookup Table'!$AD$36</definedName>
    <definedName name="T_12">'Lookup Table'!$AD$37</definedName>
    <definedName name="T_21">'Lookup Table'!$AD$38</definedName>
    <definedName name="T_22">'Lookup Table'!$AD$39</definedName>
    <definedName name="T_values">'Lookup Table'!$AE$7:$AJ$13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6" l="1"/>
  <c r="AP8" i="4"/>
  <c r="AQ8" i="4"/>
  <c r="AR8" i="4"/>
  <c r="AS8" i="4"/>
  <c r="AT8" i="4"/>
  <c r="AU8" i="4"/>
  <c r="AP9" i="4"/>
  <c r="AQ9" i="4"/>
  <c r="AR9" i="4"/>
  <c r="AS9" i="4"/>
  <c r="AT9" i="4"/>
  <c r="AU9" i="4"/>
  <c r="AP10" i="4"/>
  <c r="AQ10" i="4"/>
  <c r="AR10" i="4"/>
  <c r="AS10" i="4"/>
  <c r="AT10" i="4"/>
  <c r="AU10" i="4"/>
  <c r="AP11" i="4"/>
  <c r="AQ11" i="4"/>
  <c r="AR11" i="4"/>
  <c r="AS11" i="4"/>
  <c r="AT11" i="4"/>
  <c r="AU11" i="4"/>
  <c r="AP12" i="4"/>
  <c r="AQ12" i="4"/>
  <c r="AR12" i="4"/>
  <c r="AS12" i="4"/>
  <c r="AT12" i="4"/>
  <c r="AU12" i="4"/>
  <c r="AP13" i="4"/>
  <c r="AQ13" i="4"/>
  <c r="AR13" i="4"/>
  <c r="AS13" i="4"/>
  <c r="AT13" i="4"/>
  <c r="AU13" i="4"/>
  <c r="AQ7" i="4"/>
  <c r="AR7" i="4"/>
  <c r="AS7" i="4"/>
  <c r="AT7" i="4"/>
  <c r="AU7" i="4"/>
  <c r="AP7" i="4"/>
  <c r="AN13" i="4"/>
  <c r="AN12" i="4"/>
  <c r="AN11" i="4"/>
  <c r="AN10" i="4"/>
  <c r="AN9" i="4"/>
  <c r="AN8" i="4"/>
  <c r="AN7" i="4"/>
  <c r="AE8" i="4"/>
  <c r="AF8" i="4"/>
  <c r="AG8" i="4"/>
  <c r="AH8" i="4"/>
  <c r="AI8" i="4"/>
  <c r="AE9" i="4"/>
  <c r="AF9" i="4"/>
  <c r="AG9" i="4"/>
  <c r="AH9" i="4"/>
  <c r="AI9" i="4"/>
  <c r="AE10" i="4"/>
  <c r="AF10" i="4"/>
  <c r="AG10" i="4"/>
  <c r="AH10" i="4"/>
  <c r="AI10" i="4"/>
  <c r="AE11" i="4"/>
  <c r="AF11" i="4"/>
  <c r="AG11" i="4"/>
  <c r="AH11" i="4"/>
  <c r="AI11" i="4"/>
  <c r="AE12" i="4"/>
  <c r="AF12" i="4"/>
  <c r="AG12" i="4"/>
  <c r="AH12" i="4"/>
  <c r="AI12" i="4"/>
  <c r="AE13" i="4"/>
  <c r="AF13" i="4"/>
  <c r="AG13" i="4"/>
  <c r="AH13" i="4"/>
  <c r="AI13" i="4"/>
  <c r="AF7" i="4"/>
  <c r="AG7" i="4"/>
  <c r="AH7" i="4"/>
  <c r="AI7" i="4"/>
  <c r="AE7" i="4"/>
  <c r="AC13" i="4"/>
  <c r="AC12" i="4"/>
  <c r="AC11" i="4"/>
  <c r="AC10" i="4"/>
  <c r="AC9" i="4"/>
  <c r="AC8" i="4"/>
  <c r="AC7" i="4"/>
  <c r="AJ5" i="4"/>
  <c r="AI5" i="4"/>
  <c r="AH5" i="4"/>
  <c r="AG5" i="4"/>
  <c r="AF5" i="4"/>
  <c r="AE5" i="4"/>
  <c r="E4" i="4"/>
  <c r="F4" i="4"/>
  <c r="G4" i="4"/>
  <c r="H4" i="4"/>
  <c r="I4" i="4"/>
  <c r="J4" i="4"/>
  <c r="I50" i="4"/>
  <c r="I55" i="4" s="1"/>
  <c r="I48" i="4"/>
  <c r="I51" i="4"/>
  <c r="AD34" i="4" s="1" a="1"/>
  <c r="AD34" i="4" s="1"/>
  <c r="E48" i="4"/>
  <c r="E49" i="4"/>
  <c r="E50" i="4"/>
  <c r="E51" i="4"/>
  <c r="B14" i="6" s="1"/>
  <c r="E52" i="4"/>
  <c r="E47" i="4"/>
  <c r="AD33" i="4" l="1"/>
  <c r="AD32" i="4" a="1"/>
  <c r="AD32" i="4" s="1"/>
  <c r="AD31" i="4"/>
  <c r="I58" i="4" a="1"/>
  <c r="I58" i="4" s="1"/>
  <c r="AI37" i="4" s="1"/>
  <c r="I57" i="4"/>
  <c r="AI36" i="4" s="1"/>
  <c r="I56" i="4" a="1"/>
  <c r="I56" i="4" s="1"/>
  <c r="N12" i="4"/>
  <c r="C12" i="4"/>
  <c r="N11" i="4"/>
  <c r="C11" i="4"/>
  <c r="N10" i="4"/>
  <c r="C10" i="4"/>
  <c r="N9" i="4"/>
  <c r="C9" i="4"/>
  <c r="N8" i="4"/>
  <c r="C8" i="4"/>
  <c r="N7" i="4"/>
  <c r="C7" i="4"/>
  <c r="N6" i="4"/>
  <c r="C6" i="4"/>
  <c r="AI38" i="4" l="1"/>
  <c r="AI39" i="4"/>
  <c r="AD38" i="4"/>
  <c r="AD36" i="4"/>
  <c r="AD39" i="4"/>
  <c r="AD37" i="4"/>
  <c r="AI41" i="4" l="1"/>
  <c r="AD41" i="4"/>
  <c r="AD42" i="4" s="1"/>
  <c r="B10" i="6" s="1"/>
  <c r="B15" i="6" l="1"/>
  <c r="AI42" i="4"/>
  <c r="B11" i="6" s="1"/>
  <c r="B16" i="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<sst xmlns="http://schemas.openxmlformats.org/spreadsheetml/2006/main" count="96" uniqueCount="67">
  <si>
    <t>1nF</t>
  </si>
  <si>
    <t>3.3nF</t>
  </si>
  <si>
    <t>6.8nF</t>
  </si>
  <si>
    <t>470pF</t>
  </si>
  <si>
    <t>220pF</t>
  </si>
  <si>
    <t>100pF</t>
  </si>
  <si>
    <t>(F)</t>
  </si>
  <si>
    <t>(Ω)</t>
  </si>
  <si>
    <t>(kΩ)</t>
  </si>
  <si>
    <t>CT</t>
  </si>
  <si>
    <t>RT</t>
  </si>
  <si>
    <t>kHz</t>
  </si>
  <si>
    <t>These cells are inputs</t>
  </si>
  <si>
    <t>nF</t>
  </si>
  <si>
    <t>Device Type</t>
  </si>
  <si>
    <t>Device Types</t>
  </si>
  <si>
    <t>ISL78841</t>
  </si>
  <si>
    <t>ISL78840</t>
  </si>
  <si>
    <t>ISL78843</t>
  </si>
  <si>
    <t>ISL78845</t>
  </si>
  <si>
    <t>ISL71041</t>
  </si>
  <si>
    <t>ISL71043</t>
  </si>
  <si>
    <t>Rising UVLO</t>
  </si>
  <si>
    <t>Maximum DC</t>
  </si>
  <si>
    <t>Divide By</t>
  </si>
  <si>
    <t>Date</t>
  </si>
  <si>
    <t>Revision</t>
  </si>
  <si>
    <t>Change</t>
  </si>
  <si>
    <t>1.0</t>
  </si>
  <si>
    <t>Initial Release</t>
  </si>
  <si>
    <t>F</t>
  </si>
  <si>
    <t>Ω</t>
  </si>
  <si>
    <t>kΩ</t>
  </si>
  <si>
    <t>CT capacitor (Farads)</t>
  </si>
  <si>
    <t xml:space="preserve">RT </t>
  </si>
  <si>
    <t>Estimated Oscillator Frequency</t>
  </si>
  <si>
    <t>C_1</t>
  </si>
  <si>
    <t>C_2</t>
  </si>
  <si>
    <t>R_1</t>
  </si>
  <si>
    <t>R_2</t>
  </si>
  <si>
    <t>F_result</t>
  </si>
  <si>
    <t>Divide fosc by __</t>
  </si>
  <si>
    <t>DC_result</t>
  </si>
  <si>
    <t>Oscillator Frequency (kHz) vs RT &amp; CT</t>
  </si>
  <si>
    <t>Oscillator Maximum Duty Cycle vs RT &amp; CT</t>
  </si>
  <si>
    <t>These cells are outputs</t>
  </si>
  <si>
    <t>Estimated Oscillator Duty Cycle</t>
  </si>
  <si>
    <t>Estimated Switching Frequency</t>
  </si>
  <si>
    <t>Estimated Maximum OUT duty cycle</t>
  </si>
  <si>
    <t>This tool uses nominal design targets to calculate the schematic component values. The  numbers produced by this tool are a starting point for design with the expectation that the values will be adjusted to meet the final application requirements. It is the responsibility of the consumer to make sure that the values produced by this tool meets the requirements of their given application.
Software License Agreement
The software supplied herewith by  Renesas Electronics America Inc. (the "Company") is intended and supplied to you, the Company's customer, for use solely and exclusively on Renesas' Intersil family of products. The software is owned by the Company and/or its supplier, and is protected under applicable copyright laws. All rights are reserved. Any use in violation of the foregoing restrictions may subject the user to criminal sanctions under applicable laws, as well as to civil liability for the breach of the terms and conditions of this license.
THIS SOFTWARE IS PROVIDED IN AN "AS IS" CONDITION. NO WARRANTIES, WHETHER EXPRESS, IMPLIED OR STATUTORY, INCLUDING, BUT NOT LIMITED TO, IMPLIED WARRANTIES OF MERCHANTABILITY AND FITNESS FOR A PARTICULAR PURPOSE APPLY TO THIS SOFTWARE. THE COMPANY SHALL NOT, IN ANY CIRCUMSTANCES, BE LIABLE FOR SPECIAL, INCIDENTAL OR CONSEQUENTIAL DAMAGES, FOR ANY REASON WHATSOEVER.</t>
  </si>
  <si>
    <t>RT Resistor Value (Use 1k, 2.2k, 4.7k, 10k, 22k, 47k, 100k for best calculator accuracy. Values between are interpolated. )</t>
  </si>
  <si>
    <t>Oscillator Period (us) vs RT &amp; CT</t>
  </si>
  <si>
    <t>Oscillator ontime (us) vs RT &amp; CT</t>
  </si>
  <si>
    <t>T_11</t>
  </si>
  <si>
    <t>T_12</t>
  </si>
  <si>
    <t>T_21</t>
  </si>
  <si>
    <t>T_22</t>
  </si>
  <si>
    <t>T_result</t>
  </si>
  <si>
    <t>us</t>
  </si>
  <si>
    <t>OT_11</t>
  </si>
  <si>
    <t>OT_12</t>
  </si>
  <si>
    <t>OT_21</t>
  </si>
  <si>
    <t>OT_22</t>
  </si>
  <si>
    <t>OT_result</t>
  </si>
  <si>
    <t xml:space="preserve">ISL7884x, ISL71041, ISL71043 RTCT Design Tool </t>
  </si>
  <si>
    <t>CT Capacitor Value (Use 0.1nF,0.22nF, 0.47nF, 1nF, 3.3nF, 6.8nF for best calculator accuracy. Values between are interpolated. )</t>
  </si>
  <si>
    <t>Change interpolation to act upon the "time" scale before converting back to frequency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</si>
</sst>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ptos Narrow"/>
      <family val="2"/>
    </font>
    <font>
      <b/>
      <sz val="11"/>
      <color rgb="FF494B51"/>
      <name val="Arial"/>
      <family val="2"/>
    </font>
    <font>
      <sz val="10"/>
      <color theme="1"/>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cellStyleXfs>
  <cellXfs count="36">
    <xf numFmtId="0" fontId="0" fillId="0" borderId="0" xfId="0"/>
    <xf numFmtId="11" fontId="0" fillId="0" borderId="0" xfId="0" applyNumberFormat="1"/>
    <xf numFmtId="9" fontId="0" fillId="0" borderId="0" xfId="42" applyFont="1"/>
    <xf numFmtId="0" fontId="0" fillId="0" borderId="0" xfId="0" applyAlignment="1">
      <alignment horizontal="center"/>
    </xf>
    <xf numFmtId="0" fontId="0" fillId="0" borderId="0" xfId="0" applyAlignment="1">
      <alignment horizontal="center" vertical="center"/>
    </xf>
    <xf numFmtId="0" fontId="16" fillId="0" borderId="10" xfId="0" applyFont="1" applyBorder="1"/>
    <xf numFmtId="0" fontId="0" fillId="33" borderId="10" xfId="0" applyFill="1" applyBorder="1" applyAlignment="1" applyProtection="1">
      <alignment horizontal="center" vertical="center"/>
      <protection locked="0"/>
    </xf>
    <xf numFmtId="0" fontId="0" fillId="0" borderId="10" xfId="0" applyBorder="1" applyAlignment="1">
      <alignment horizontal="left"/>
    </xf>
    <xf numFmtId="2" fontId="0" fillId="34" borderId="10" xfId="0" applyNumberFormat="1" applyFill="1" applyBorder="1" applyAlignment="1" applyProtection="1">
      <alignment horizontal="center" vertical="center"/>
      <protection hidden="1"/>
    </xf>
    <xf numFmtId="0" fontId="0" fillId="33" borderId="10" xfId="0" applyFill="1" applyBorder="1"/>
    <xf numFmtId="0" fontId="0" fillId="0" borderId="0" xfId="0" applyAlignment="1">
      <alignment vertical="center"/>
    </xf>
    <xf numFmtId="0" fontId="0" fillId="34" borderId="10" xfId="0" applyFill="1" applyBorder="1"/>
    <xf numFmtId="0" fontId="16" fillId="0" borderId="10" xfId="0" applyFont="1" applyBorder="1" applyAlignment="1">
      <alignment wrapText="1"/>
    </xf>
    <xf numFmtId="9" fontId="0" fillId="0" borderId="0" xfId="0" applyNumberFormat="1"/>
    <xf numFmtId="1" fontId="0" fillId="34" borderId="10" xfId="0" applyNumberFormat="1" applyFill="1" applyBorder="1" applyAlignment="1" applyProtection="1">
      <alignment horizontal="center" vertical="center"/>
      <protection hidden="1"/>
    </xf>
    <xf numFmtId="0" fontId="16" fillId="0" borderId="10" xfId="0" applyFont="1" applyBorder="1" applyAlignment="1">
      <alignment horizontal="center"/>
    </xf>
    <xf numFmtId="14" fontId="0" fillId="0" borderId="10" xfId="0" applyNumberFormat="1" applyBorder="1" applyAlignment="1">
      <alignment horizontal="center" vertical="center"/>
    </xf>
    <xf numFmtId="0" fontId="0" fillId="0" borderId="10" xfId="0" quotePrefix="1" applyBorder="1" applyAlignment="1">
      <alignment horizontal="center" vertical="center"/>
    </xf>
    <xf numFmtId="0" fontId="0" fillId="0" borderId="10" xfId="0" applyBorder="1" applyAlignment="1">
      <alignment wrapText="1"/>
    </xf>
    <xf numFmtId="0" fontId="0" fillId="0" borderId="10" xfId="0" applyBorder="1" applyAlignment="1">
      <alignment horizontal="center" vertical="center"/>
    </xf>
    <xf numFmtId="0" fontId="18" fillId="0" borderId="10" xfId="0" applyFont="1" applyBorder="1" applyAlignment="1">
      <alignment horizontal="left"/>
    </xf>
    <xf numFmtId="11" fontId="0" fillId="34" borderId="10" xfId="0" applyNumberFormat="1" applyFill="1" applyBorder="1" applyAlignment="1" applyProtection="1">
      <alignment horizontal="center" vertical="center"/>
      <protection hidden="1"/>
    </xf>
    <xf numFmtId="0" fontId="19" fillId="0" borderId="0" xfId="0" applyFont="1"/>
    <xf numFmtId="164" fontId="19" fillId="0" borderId="0" xfId="42" applyNumberFormat="1" applyFont="1"/>
    <xf numFmtId="164" fontId="0" fillId="34" borderId="10" xfId="42" applyNumberFormat="1" applyFont="1" applyFill="1" applyBorder="1" applyAlignment="1" applyProtection="1">
      <alignment horizontal="center" vertical="center"/>
      <protection hidden="1"/>
    </xf>
    <xf numFmtId="1" fontId="0" fillId="35" borderId="10" xfId="0" applyNumberFormat="1" applyFill="1" applyBorder="1" applyAlignment="1" applyProtection="1">
      <alignment horizontal="center" vertical="center"/>
      <protection hidden="1"/>
    </xf>
    <xf numFmtId="1" fontId="0" fillId="0" borderId="0" xfId="0" applyNumberFormat="1"/>
    <xf numFmtId="0" fontId="20" fillId="0" borderId="0" xfId="0" applyFont="1" applyAlignment="1">
      <alignment wrapText="1"/>
    </xf>
    <xf numFmtId="0" fontId="16" fillId="0" borderId="0" xfId="0" applyFont="1"/>
    <xf numFmtId="165" fontId="0" fillId="0" borderId="0" xfId="0" applyNumberFormat="1" applyAlignment="1">
      <alignment horizontal="center"/>
    </xf>
    <xf numFmtId="166" fontId="0" fillId="0" borderId="0" xfId="0" applyNumberFormat="1" applyAlignment="1">
      <alignment horizontal="center"/>
    </xf>
    <xf numFmtId="2" fontId="0" fillId="0" borderId="0" xfId="0" applyNumberFormat="1"/>
    <xf numFmtId="2" fontId="0" fillId="0" borderId="0" xfId="42" applyNumberFormat="1" applyFont="1"/>
    <xf numFmtId="0" fontId="19" fillId="0" borderId="0" xfId="42" applyNumberFormat="1" applyFont="1"/>
    <xf numFmtId="0" fontId="0" fillId="0" borderId="0" xfId="0" applyAlignment="1">
      <alignment horizontal="center"/>
    </xf>
    <xf numFmtId="0" fontId="0" fillId="0" borderId="0" xfId="0" applyAlignment="1">
      <alignment horizontal="center" vertical="center" textRotation="90"/>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Oscillator Frequency (fosc)</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4612216951141976"/>
          <c:y val="0.10924889543446245"/>
          <c:w val="0.79559152931970456"/>
          <c:h val="0.7601964445166004"/>
        </c:manualLayout>
      </c:layout>
      <c:scatterChart>
        <c:scatterStyle val="smoothMarker"/>
        <c:varyColors val="0"/>
        <c:ser>
          <c:idx val="5"/>
          <c:order val="0"/>
          <c:tx>
            <c:strRef>
              <c:f>'Lookup Table'!$E$4</c:f>
              <c:strCache>
                <c:ptCount val="1"/>
                <c:pt idx="0">
                  <c:v>0.100</c:v>
                </c:pt>
              </c:strCache>
            </c:strRef>
          </c:tx>
          <c:spPr>
            <a:ln w="19050" cap="rnd">
              <a:solidFill>
                <a:schemeClr val="accent6"/>
              </a:solidFill>
              <a:round/>
            </a:ln>
            <a:effectLst/>
          </c:spPr>
          <c:marker>
            <c:symbol val="circle"/>
            <c:size val="5"/>
            <c:spPr>
              <a:solidFill>
                <a:schemeClr val="accent6"/>
              </a:solidFill>
              <a:ln w="9525">
                <a:solidFill>
                  <a:schemeClr val="accent6"/>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Table'!$E$6:$E$12</c:f>
              <c:numCache>
                <c:formatCode>0.00</c:formatCode>
                <c:ptCount val="7"/>
                <c:pt idx="0">
                  <c:v>4494.3999999999996</c:v>
                </c:pt>
                <c:pt idx="1">
                  <c:v>4042.4</c:v>
                </c:pt>
                <c:pt idx="2">
                  <c:v>2726.7</c:v>
                </c:pt>
                <c:pt idx="3">
                  <c:v>1538.5</c:v>
                </c:pt>
                <c:pt idx="4">
                  <c:v>777.23</c:v>
                </c:pt>
                <c:pt idx="5">
                  <c:v>377.91</c:v>
                </c:pt>
                <c:pt idx="6">
                  <c:v>181.7</c:v>
                </c:pt>
              </c:numCache>
            </c:numRef>
          </c:yVal>
          <c:smooth val="1"/>
          <c:extLst>
            <c:ext xmlns:c16="http://schemas.microsoft.com/office/drawing/2014/chart" uri="{C3380CC4-5D6E-409C-BE32-E72D297353CC}">
              <c16:uniqueId val="{00000000-962E-452D-A696-514BB0331D14}"/>
            </c:ext>
          </c:extLst>
        </c:ser>
        <c:ser>
          <c:idx val="4"/>
          <c:order val="1"/>
          <c:tx>
            <c:strRef>
              <c:f>'Lookup Table'!$F$4</c:f>
              <c:strCache>
                <c:ptCount val="1"/>
                <c:pt idx="0">
                  <c:v>0.220</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Table'!$F$6:$F$12</c:f>
              <c:numCache>
                <c:formatCode>0.00</c:formatCode>
                <c:ptCount val="7"/>
                <c:pt idx="0">
                  <c:v>2840.9</c:v>
                </c:pt>
                <c:pt idx="1">
                  <c:v>2215.5</c:v>
                </c:pt>
                <c:pt idx="2">
                  <c:v>1369.2</c:v>
                </c:pt>
                <c:pt idx="3">
                  <c:v>737.46</c:v>
                </c:pt>
                <c:pt idx="4">
                  <c:v>360.75</c:v>
                </c:pt>
                <c:pt idx="5">
                  <c:v>174.67</c:v>
                </c:pt>
                <c:pt idx="6">
                  <c:v>83.99</c:v>
                </c:pt>
              </c:numCache>
            </c:numRef>
          </c:yVal>
          <c:smooth val="1"/>
          <c:extLst>
            <c:ext xmlns:c16="http://schemas.microsoft.com/office/drawing/2014/chart" uri="{C3380CC4-5D6E-409C-BE32-E72D297353CC}">
              <c16:uniqueId val="{00000001-962E-452D-A696-514BB0331D14}"/>
            </c:ext>
          </c:extLst>
        </c:ser>
        <c:ser>
          <c:idx val="3"/>
          <c:order val="2"/>
          <c:tx>
            <c:strRef>
              <c:f>'Lookup Table'!$G$4</c:f>
              <c:strCache>
                <c:ptCount val="1"/>
                <c:pt idx="0">
                  <c:v>0.470</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Table'!$G$6:$G$12</c:f>
              <c:numCache>
                <c:formatCode>0.00</c:formatCode>
                <c:ptCount val="7"/>
                <c:pt idx="0">
                  <c:v>1627.3</c:v>
                </c:pt>
                <c:pt idx="1">
                  <c:v>1151.4000000000001</c:v>
                </c:pt>
                <c:pt idx="2">
                  <c:v>661.59</c:v>
                </c:pt>
                <c:pt idx="3">
                  <c:v>345.38</c:v>
                </c:pt>
                <c:pt idx="4">
                  <c:v>166.37</c:v>
                </c:pt>
                <c:pt idx="5">
                  <c:v>80.34</c:v>
                </c:pt>
                <c:pt idx="6">
                  <c:v>38.593000000000004</c:v>
                </c:pt>
              </c:numCache>
            </c:numRef>
          </c:yVal>
          <c:smooth val="1"/>
          <c:extLst>
            <c:ext xmlns:c16="http://schemas.microsoft.com/office/drawing/2014/chart" uri="{C3380CC4-5D6E-409C-BE32-E72D297353CC}">
              <c16:uniqueId val="{00000002-962E-452D-A696-514BB0331D14}"/>
            </c:ext>
          </c:extLst>
        </c:ser>
        <c:ser>
          <c:idx val="2"/>
          <c:order val="3"/>
          <c:tx>
            <c:strRef>
              <c:f>'Lookup Table'!$H$4</c:f>
              <c:strCache>
                <c:ptCount val="1"/>
                <c:pt idx="0">
                  <c:v>1.0</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Table'!$H$6:$H$12</c:f>
              <c:numCache>
                <c:formatCode>0.00</c:formatCode>
                <c:ptCount val="7"/>
                <c:pt idx="0">
                  <c:v>870.51</c:v>
                </c:pt>
                <c:pt idx="1">
                  <c:v>574.38</c:v>
                </c:pt>
                <c:pt idx="2">
                  <c:v>316.68</c:v>
                </c:pt>
                <c:pt idx="3">
                  <c:v>162.11000000000001</c:v>
                </c:pt>
                <c:pt idx="4">
                  <c:v>77.328000000000003</c:v>
                </c:pt>
                <c:pt idx="5">
                  <c:v>37.222000000000001</c:v>
                </c:pt>
                <c:pt idx="6">
                  <c:v>17.885000000000002</c:v>
                </c:pt>
              </c:numCache>
            </c:numRef>
          </c:yVal>
          <c:smooth val="1"/>
          <c:extLst>
            <c:ext xmlns:c16="http://schemas.microsoft.com/office/drawing/2014/chart" uri="{C3380CC4-5D6E-409C-BE32-E72D297353CC}">
              <c16:uniqueId val="{00000003-962E-452D-A696-514BB0331D14}"/>
            </c:ext>
          </c:extLst>
        </c:ser>
        <c:ser>
          <c:idx val="1"/>
          <c:order val="4"/>
          <c:tx>
            <c:strRef>
              <c:f>'Lookup Table'!$I$4</c:f>
              <c:strCache>
                <c:ptCount val="1"/>
                <c:pt idx="0">
                  <c:v>3.3</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Table'!$I$6:$I$12</c:f>
              <c:numCache>
                <c:formatCode>0.00</c:formatCode>
                <c:ptCount val="7"/>
                <c:pt idx="0">
                  <c:v>307.93</c:v>
                </c:pt>
                <c:pt idx="1">
                  <c:v>193.87</c:v>
                </c:pt>
                <c:pt idx="2">
                  <c:v>103.57</c:v>
                </c:pt>
                <c:pt idx="3">
                  <c:v>52.06</c:v>
                </c:pt>
                <c:pt idx="4">
                  <c:v>24.640999999999998</c:v>
                </c:pt>
                <c:pt idx="5">
                  <c:v>11.824999999999999</c:v>
                </c:pt>
                <c:pt idx="6">
                  <c:v>5.6805000000000003</c:v>
                </c:pt>
              </c:numCache>
            </c:numRef>
          </c:yVal>
          <c:smooth val="1"/>
          <c:extLst>
            <c:ext xmlns:c16="http://schemas.microsoft.com/office/drawing/2014/chart" uri="{C3380CC4-5D6E-409C-BE32-E72D297353CC}">
              <c16:uniqueId val="{00000004-962E-452D-A696-514BB0331D14}"/>
            </c:ext>
          </c:extLst>
        </c:ser>
        <c:ser>
          <c:idx val="0"/>
          <c:order val="5"/>
          <c:tx>
            <c:strRef>
              <c:f>'Lookup Table'!$J$4</c:f>
              <c:strCache>
                <c:ptCount val="1"/>
                <c:pt idx="0">
                  <c:v>6.8</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Table'!$J$6:$J$12</c:f>
              <c:numCache>
                <c:formatCode>0.00</c:formatCode>
                <c:ptCount val="7"/>
                <c:pt idx="0">
                  <c:v>155.21</c:v>
                </c:pt>
                <c:pt idx="1">
                  <c:v>96.516000000000005</c:v>
                </c:pt>
                <c:pt idx="2">
                  <c:v>51.093000000000004</c:v>
                </c:pt>
                <c:pt idx="3">
                  <c:v>25.545999999999999</c:v>
                </c:pt>
                <c:pt idx="4">
                  <c:v>12.053000000000001</c:v>
                </c:pt>
                <c:pt idx="5">
                  <c:v>5.7763999999999998</c:v>
                </c:pt>
                <c:pt idx="6">
                  <c:v>2.7713000000000001</c:v>
                </c:pt>
              </c:numCache>
            </c:numRef>
          </c:yVal>
          <c:smooth val="1"/>
          <c:extLst>
            <c:ext xmlns:c16="http://schemas.microsoft.com/office/drawing/2014/chart" uri="{C3380CC4-5D6E-409C-BE32-E72D297353CC}">
              <c16:uniqueId val="{00000005-962E-452D-A696-514BB0331D14}"/>
            </c:ext>
          </c:extLst>
        </c:ser>
        <c:ser>
          <c:idx val="6"/>
          <c:order val="6"/>
          <c:tx>
            <c:strRef>
              <c:f>'Lookup Table'!$I$48</c:f>
              <c:strCache>
                <c:ptCount val="1"/>
                <c:pt idx="0">
                  <c:v>Selection: 3.3nF</c:v>
                </c:pt>
              </c:strCache>
            </c:strRef>
          </c:tx>
          <c:spPr>
            <a:ln w="19050" cap="rnd">
              <a:noFill/>
              <a:round/>
            </a:ln>
            <a:effectLst/>
          </c:spPr>
          <c:marker>
            <c:symbol val="x"/>
            <c:size val="10"/>
            <c:spPr>
              <a:noFill/>
              <a:ln w="25400">
                <a:solidFill>
                  <a:schemeClr val="tx1"/>
                </a:solidFill>
              </a:ln>
              <a:effectLst/>
            </c:spPr>
          </c:marker>
          <c:xVal>
            <c:numRef>
              <c:f>Main!$B$9</c:f>
              <c:numCache>
                <c:formatCode>General</c:formatCode>
                <c:ptCount val="1"/>
                <c:pt idx="0">
                  <c:v>10</c:v>
                </c:pt>
              </c:numCache>
            </c:numRef>
          </c:xVal>
          <c:yVal>
            <c:numRef>
              <c:f>Main!$B$10</c:f>
              <c:numCache>
                <c:formatCode>0.00</c:formatCode>
                <c:ptCount val="1"/>
                <c:pt idx="0">
                  <c:v>52.060000000000016</c:v>
                </c:pt>
              </c:numCache>
            </c:numRef>
          </c:yVal>
          <c:smooth val="1"/>
          <c:extLst>
            <c:ext xmlns:c16="http://schemas.microsoft.com/office/drawing/2014/chart" uri="{C3380CC4-5D6E-409C-BE32-E72D297353CC}">
              <c16:uniqueId val="{00000001-8C8A-4FF6-AE4F-F00C1201A6CE}"/>
            </c:ext>
          </c:extLst>
        </c:ser>
        <c:dLbls>
          <c:showLegendKey val="0"/>
          <c:showVal val="0"/>
          <c:showCatName val="0"/>
          <c:showSerName val="0"/>
          <c:showPercent val="0"/>
          <c:showBubbleSize val="0"/>
        </c:dLbls>
        <c:axId val="955232856"/>
        <c:axId val="955233216"/>
      </c:scatterChart>
      <c:valAx>
        <c:axId val="955232856"/>
        <c:scaling>
          <c:logBase val="10"/>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RT resistance (k</a:t>
                </a:r>
                <a:r>
                  <a:rPr lang="el-GR"/>
                  <a:t>Ω</a:t>
                </a:r>
                <a:r>
                  <a:rPr lang="en-US"/>
                  <a: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5233216"/>
        <c:crosses val="autoZero"/>
        <c:crossBetween val="midCat"/>
      </c:valAx>
      <c:valAx>
        <c:axId val="955233216"/>
        <c:scaling>
          <c:logBase val="10"/>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RTCT Frequency (kHz)</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5232856"/>
        <c:crosses val="autoZero"/>
        <c:crossBetween val="midCat"/>
      </c:valAx>
      <c:spPr>
        <a:noFill/>
        <a:ln>
          <a:noFill/>
        </a:ln>
        <a:effectLst/>
      </c:spPr>
    </c:plotArea>
    <c:legend>
      <c:legendPos val="r"/>
      <c:layout>
        <c:manualLayout>
          <c:xMode val="edge"/>
          <c:yMode val="edge"/>
          <c:x val="0.16367643175037905"/>
          <c:y val="0.58242134681618396"/>
          <c:w val="0.27839569526104757"/>
          <c:h val="0.26841186088852304"/>
        </c:manualLayout>
      </c:layout>
      <c:overlay val="0"/>
      <c:spPr>
        <a:solidFill>
          <a:schemeClr val="bg1"/>
        </a:solidFill>
        <a:ln>
          <a:solidFill>
            <a:schemeClr val="tx1"/>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Oscillator Maximum duty Cycle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53321902415474"/>
          <c:y val="0.1098962962962963"/>
          <c:w val="0.80126966423066037"/>
          <c:h val="0.75877538641003206"/>
        </c:manualLayout>
      </c:layout>
      <c:scatterChart>
        <c:scatterStyle val="smoothMarker"/>
        <c:varyColors val="0"/>
        <c:ser>
          <c:idx val="0"/>
          <c:order val="0"/>
          <c:tx>
            <c:strRef>
              <c:f>'Lookup Table'!$U$4</c:f>
              <c:strCache>
                <c:ptCount val="1"/>
                <c:pt idx="0">
                  <c:v>6.8nF</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Table'!$U$6:$U$12</c:f>
              <c:numCache>
                <c:formatCode>0%</c:formatCode>
                <c:ptCount val="7"/>
                <c:pt idx="0">
                  <c:v>0.60943999999999998</c:v>
                </c:pt>
                <c:pt idx="1">
                  <c:v>0.82074999999999998</c:v>
                </c:pt>
                <c:pt idx="2">
                  <c:v>0.91486000000000001</c:v>
                </c:pt>
                <c:pt idx="3">
                  <c:v>0.95943000000000001</c:v>
                </c:pt>
                <c:pt idx="4">
                  <c:v>0.98126999999999998</c:v>
                </c:pt>
                <c:pt idx="5">
                  <c:v>0.99111000000000005</c:v>
                </c:pt>
                <c:pt idx="6">
                  <c:v>0.99575000000000002</c:v>
                </c:pt>
              </c:numCache>
            </c:numRef>
          </c:yVal>
          <c:smooth val="1"/>
          <c:extLst>
            <c:ext xmlns:c16="http://schemas.microsoft.com/office/drawing/2014/chart" uri="{C3380CC4-5D6E-409C-BE32-E72D297353CC}">
              <c16:uniqueId val="{00000000-0204-41AB-AA74-A78B3ABDD96E}"/>
            </c:ext>
          </c:extLst>
        </c:ser>
        <c:ser>
          <c:idx val="1"/>
          <c:order val="1"/>
          <c:tx>
            <c:strRef>
              <c:f>'Lookup Table'!$T$4</c:f>
              <c:strCache>
                <c:ptCount val="1"/>
                <c:pt idx="0">
                  <c:v>3.3nF</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Table'!$T$6:$T$12</c:f>
              <c:numCache>
                <c:formatCode>0%</c:formatCode>
                <c:ptCount val="7"/>
                <c:pt idx="0">
                  <c:v>0.60409999999999997</c:v>
                </c:pt>
                <c:pt idx="1">
                  <c:v>0.81549000000000005</c:v>
                </c:pt>
                <c:pt idx="2">
                  <c:v>0.91159999999999997</c:v>
                </c:pt>
                <c:pt idx="3">
                  <c:v>0.95760000000000001</c:v>
                </c:pt>
                <c:pt idx="4">
                  <c:v>0.98038999999999998</c:v>
                </c:pt>
                <c:pt idx="5">
                  <c:v>0.99065999999999999</c:v>
                </c:pt>
                <c:pt idx="6">
                  <c:v>0.99553999999999998</c:v>
                </c:pt>
              </c:numCache>
            </c:numRef>
          </c:yVal>
          <c:smooth val="1"/>
          <c:extLst>
            <c:ext xmlns:c16="http://schemas.microsoft.com/office/drawing/2014/chart" uri="{C3380CC4-5D6E-409C-BE32-E72D297353CC}">
              <c16:uniqueId val="{00000001-0204-41AB-AA74-A78B3ABDD96E}"/>
            </c:ext>
          </c:extLst>
        </c:ser>
        <c:ser>
          <c:idx val="2"/>
          <c:order val="2"/>
          <c:tx>
            <c:strRef>
              <c:f>'Lookup Table'!$S$4</c:f>
              <c:strCache>
                <c:ptCount val="1"/>
                <c:pt idx="0">
                  <c:v>1nF</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Table'!$S$6:$S$12</c:f>
              <c:numCache>
                <c:formatCode>0%</c:formatCode>
                <c:ptCount val="7"/>
                <c:pt idx="0">
                  <c:v>0.58328000000000002</c:v>
                </c:pt>
                <c:pt idx="1">
                  <c:v>0.79508000000000001</c:v>
                </c:pt>
                <c:pt idx="2">
                  <c:v>0.89876</c:v>
                </c:pt>
                <c:pt idx="3">
                  <c:v>0.95050999999999997</c:v>
                </c:pt>
                <c:pt idx="4">
                  <c:v>0.97689999999999999</c:v>
                </c:pt>
                <c:pt idx="5">
                  <c:v>0.98895999999999995</c:v>
                </c:pt>
                <c:pt idx="6">
                  <c:v>0.99472000000000005</c:v>
                </c:pt>
              </c:numCache>
            </c:numRef>
          </c:yVal>
          <c:smooth val="1"/>
          <c:extLst>
            <c:ext xmlns:c16="http://schemas.microsoft.com/office/drawing/2014/chart" uri="{C3380CC4-5D6E-409C-BE32-E72D297353CC}">
              <c16:uniqueId val="{00000002-0204-41AB-AA74-A78B3ABDD96E}"/>
            </c:ext>
          </c:extLst>
        </c:ser>
        <c:ser>
          <c:idx val="3"/>
          <c:order val="3"/>
          <c:tx>
            <c:strRef>
              <c:f>'Lookup Table'!$R$4</c:f>
              <c:strCache>
                <c:ptCount val="1"/>
                <c:pt idx="0">
                  <c:v>470pF</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Table'!$R$6:$R$12</c:f>
              <c:numCache>
                <c:formatCode>0%</c:formatCode>
                <c:ptCount val="7"/>
                <c:pt idx="0">
                  <c:v>0.55686999999999998</c:v>
                </c:pt>
                <c:pt idx="1">
                  <c:v>0.76788000000000001</c:v>
                </c:pt>
                <c:pt idx="2">
                  <c:v>0.88122999999999996</c:v>
                </c:pt>
                <c:pt idx="3">
                  <c:v>0.94091999999999998</c:v>
                </c:pt>
                <c:pt idx="4">
                  <c:v>0.97209999999999996</c:v>
                </c:pt>
                <c:pt idx="5">
                  <c:v>0.98662000000000005</c:v>
                </c:pt>
                <c:pt idx="6">
                  <c:v>0.99358999999999997</c:v>
                </c:pt>
              </c:numCache>
            </c:numRef>
          </c:yVal>
          <c:smooth val="1"/>
          <c:extLst>
            <c:ext xmlns:c16="http://schemas.microsoft.com/office/drawing/2014/chart" uri="{C3380CC4-5D6E-409C-BE32-E72D297353CC}">
              <c16:uniqueId val="{00000003-0204-41AB-AA74-A78B3ABDD96E}"/>
            </c:ext>
          </c:extLst>
        </c:ser>
        <c:ser>
          <c:idx val="4"/>
          <c:order val="4"/>
          <c:tx>
            <c:strRef>
              <c:f>'Lookup Table'!$Q$4</c:f>
              <c:strCache>
                <c:ptCount val="1"/>
                <c:pt idx="0">
                  <c:v>220pF</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Table'!$Q$6:$Q$12</c:f>
              <c:numCache>
                <c:formatCode>0%</c:formatCode>
                <c:ptCount val="7"/>
                <c:pt idx="0">
                  <c:v>0.52483999999999997</c:v>
                </c:pt>
                <c:pt idx="1">
                  <c:v>0.73175999999999997</c:v>
                </c:pt>
                <c:pt idx="2">
                  <c:v>0.85589999999999999</c:v>
                </c:pt>
                <c:pt idx="3">
                  <c:v>0.92662999999999995</c:v>
                </c:pt>
                <c:pt idx="4">
                  <c:v>0.96496999999999999</c:v>
                </c:pt>
                <c:pt idx="5">
                  <c:v>0.98312999999999995</c:v>
                </c:pt>
                <c:pt idx="6">
                  <c:v>0.99190999999999996</c:v>
                </c:pt>
              </c:numCache>
            </c:numRef>
          </c:yVal>
          <c:smooth val="1"/>
          <c:extLst>
            <c:ext xmlns:c16="http://schemas.microsoft.com/office/drawing/2014/chart" uri="{C3380CC4-5D6E-409C-BE32-E72D297353CC}">
              <c16:uniqueId val="{00000004-0204-41AB-AA74-A78B3ABDD96E}"/>
            </c:ext>
          </c:extLst>
        </c:ser>
        <c:ser>
          <c:idx val="5"/>
          <c:order val="5"/>
          <c:tx>
            <c:strRef>
              <c:f>'Lookup Table'!$P$4</c:f>
              <c:strCache>
                <c:ptCount val="1"/>
                <c:pt idx="0">
                  <c:v>100pF</c:v>
                </c:pt>
              </c:strCache>
            </c:strRef>
          </c:tx>
          <c:spPr>
            <a:ln w="19050" cap="rnd">
              <a:solidFill>
                <a:schemeClr val="accent6"/>
              </a:solidFill>
              <a:round/>
            </a:ln>
            <a:effectLst/>
          </c:spPr>
          <c:marker>
            <c:symbol val="circle"/>
            <c:size val="5"/>
            <c:spPr>
              <a:solidFill>
                <a:schemeClr val="accent6"/>
              </a:solidFill>
              <a:ln w="9525">
                <a:solidFill>
                  <a:schemeClr val="accent6"/>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Table'!$P$6:$P$12</c:f>
              <c:numCache>
                <c:formatCode>0%</c:formatCode>
                <c:ptCount val="7"/>
                <c:pt idx="0">
                  <c:v>0.51600000000000001</c:v>
                </c:pt>
                <c:pt idx="1">
                  <c:v>0.70399999999999996</c:v>
                </c:pt>
                <c:pt idx="2">
                  <c:v>0.82947000000000004</c:v>
                </c:pt>
                <c:pt idx="3">
                  <c:v>0.91003000000000001</c:v>
                </c:pt>
                <c:pt idx="4">
                  <c:v>0.95598000000000005</c:v>
                </c:pt>
                <c:pt idx="5">
                  <c:v>0.97880999999999996</c:v>
                </c:pt>
                <c:pt idx="6">
                  <c:v>0.98985999999999996</c:v>
                </c:pt>
              </c:numCache>
            </c:numRef>
          </c:yVal>
          <c:smooth val="1"/>
          <c:extLst>
            <c:ext xmlns:c16="http://schemas.microsoft.com/office/drawing/2014/chart" uri="{C3380CC4-5D6E-409C-BE32-E72D297353CC}">
              <c16:uniqueId val="{00000005-0204-41AB-AA74-A78B3ABDD96E}"/>
            </c:ext>
          </c:extLst>
        </c:ser>
        <c:ser>
          <c:idx val="6"/>
          <c:order val="6"/>
          <c:tx>
            <c:strRef>
              <c:f>'Lookup Table'!$I$48</c:f>
              <c:strCache>
                <c:ptCount val="1"/>
                <c:pt idx="0">
                  <c:v>Selection: 3.3nF</c:v>
                </c:pt>
              </c:strCache>
            </c:strRef>
          </c:tx>
          <c:spPr>
            <a:ln w="19050" cap="rnd">
              <a:noFill/>
              <a:round/>
            </a:ln>
            <a:effectLst/>
          </c:spPr>
          <c:marker>
            <c:symbol val="x"/>
            <c:size val="10"/>
            <c:spPr>
              <a:noFill/>
              <a:ln w="25400">
                <a:solidFill>
                  <a:schemeClr val="accent1">
                    <a:lumMod val="60000"/>
                  </a:schemeClr>
                </a:solidFill>
              </a:ln>
              <a:effectLst/>
            </c:spPr>
          </c:marker>
          <c:xVal>
            <c:numRef>
              <c:f>Main!$B$9</c:f>
              <c:numCache>
                <c:formatCode>General</c:formatCode>
                <c:ptCount val="1"/>
                <c:pt idx="0">
                  <c:v>10</c:v>
                </c:pt>
              </c:numCache>
            </c:numRef>
          </c:xVal>
          <c:yVal>
            <c:numRef>
              <c:f>Main!$B$11</c:f>
              <c:numCache>
                <c:formatCode>0.0%</c:formatCode>
                <c:ptCount val="1"/>
                <c:pt idx="0">
                  <c:v>0.95760000000000023</c:v>
                </c:pt>
              </c:numCache>
            </c:numRef>
          </c:yVal>
          <c:smooth val="1"/>
          <c:extLst>
            <c:ext xmlns:c16="http://schemas.microsoft.com/office/drawing/2014/chart" uri="{C3380CC4-5D6E-409C-BE32-E72D297353CC}">
              <c16:uniqueId val="{00000014-D692-4F38-A1CF-A7E556FC6D4A}"/>
            </c:ext>
          </c:extLst>
        </c:ser>
        <c:dLbls>
          <c:showLegendKey val="0"/>
          <c:showVal val="0"/>
          <c:showCatName val="0"/>
          <c:showSerName val="0"/>
          <c:showPercent val="0"/>
          <c:showBubbleSize val="0"/>
        </c:dLbls>
        <c:axId val="955232856"/>
        <c:axId val="955233216"/>
      </c:scatterChart>
      <c:valAx>
        <c:axId val="955232856"/>
        <c:scaling>
          <c:logBase val="10"/>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RT resistance (k</a:t>
                </a:r>
                <a:r>
                  <a:rPr lang="el-GR"/>
                  <a:t>Ω</a:t>
                </a:r>
                <a:r>
                  <a:rPr lang="en-US"/>
                  <a: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5233216"/>
        <c:crosses val="autoZero"/>
        <c:crossBetween val="midCat"/>
      </c:valAx>
      <c:valAx>
        <c:axId val="955233216"/>
        <c:scaling>
          <c:orientation val="minMax"/>
          <c:max val="1"/>
          <c:min val="0.5"/>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RTCT Frequency (kHz)</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5232856"/>
        <c:crosses val="autoZero"/>
        <c:crossBetween val="midCat"/>
      </c:valAx>
      <c:spPr>
        <a:noFill/>
        <a:ln>
          <a:noFill/>
        </a:ln>
        <a:effectLst/>
      </c:spPr>
    </c:plotArea>
    <c:legend>
      <c:legendPos val="r"/>
      <c:layout>
        <c:manualLayout>
          <c:xMode val="edge"/>
          <c:yMode val="edge"/>
          <c:x val="0.52879709720533608"/>
          <c:y val="0.35346334615149849"/>
          <c:w val="0.30622838002135117"/>
          <c:h val="0.41210339986571454"/>
        </c:manualLayout>
      </c:layout>
      <c:overlay val="0"/>
      <c:spPr>
        <a:solidFill>
          <a:schemeClr val="bg1"/>
        </a:solidFill>
        <a:ln>
          <a:solidFill>
            <a:schemeClr val="tx1"/>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Oscillator Frequency (fosc)</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5"/>
          <c:order val="0"/>
          <c:tx>
            <c:strRef>
              <c:f>'Lookup Table'!$E$4</c:f>
              <c:strCache>
                <c:ptCount val="1"/>
                <c:pt idx="0">
                  <c:v>0.100</c:v>
                </c:pt>
              </c:strCache>
            </c:strRef>
          </c:tx>
          <c:spPr>
            <a:ln w="19050" cap="rnd">
              <a:solidFill>
                <a:schemeClr val="accent6"/>
              </a:solidFill>
              <a:round/>
            </a:ln>
            <a:effectLst/>
          </c:spPr>
          <c:marker>
            <c:symbol val="circle"/>
            <c:size val="5"/>
            <c:spPr>
              <a:solidFill>
                <a:schemeClr val="accent6"/>
              </a:solidFill>
              <a:ln w="9525">
                <a:solidFill>
                  <a:schemeClr val="accent6"/>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Table'!$E$6:$E$12</c:f>
              <c:numCache>
                <c:formatCode>0.00</c:formatCode>
                <c:ptCount val="7"/>
                <c:pt idx="0">
                  <c:v>4494.3999999999996</c:v>
                </c:pt>
                <c:pt idx="1">
                  <c:v>4042.4</c:v>
                </c:pt>
                <c:pt idx="2">
                  <c:v>2726.7</c:v>
                </c:pt>
                <c:pt idx="3">
                  <c:v>1538.5</c:v>
                </c:pt>
                <c:pt idx="4">
                  <c:v>777.23</c:v>
                </c:pt>
                <c:pt idx="5">
                  <c:v>377.91</c:v>
                </c:pt>
                <c:pt idx="6">
                  <c:v>181.7</c:v>
                </c:pt>
              </c:numCache>
            </c:numRef>
          </c:yVal>
          <c:smooth val="1"/>
          <c:extLst>
            <c:ext xmlns:c16="http://schemas.microsoft.com/office/drawing/2014/chart" uri="{C3380CC4-5D6E-409C-BE32-E72D297353CC}">
              <c16:uniqueId val="{00000000-0E4B-4D04-9FF5-FF1F40E57441}"/>
            </c:ext>
          </c:extLst>
        </c:ser>
        <c:ser>
          <c:idx val="4"/>
          <c:order val="1"/>
          <c:tx>
            <c:strRef>
              <c:f>'Lookup Table'!$F$4</c:f>
              <c:strCache>
                <c:ptCount val="1"/>
                <c:pt idx="0">
                  <c:v>0.220</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Table'!$F$6:$F$12</c:f>
              <c:numCache>
                <c:formatCode>0.00</c:formatCode>
                <c:ptCount val="7"/>
                <c:pt idx="0">
                  <c:v>2840.9</c:v>
                </c:pt>
                <c:pt idx="1">
                  <c:v>2215.5</c:v>
                </c:pt>
                <c:pt idx="2">
                  <c:v>1369.2</c:v>
                </c:pt>
                <c:pt idx="3">
                  <c:v>737.46</c:v>
                </c:pt>
                <c:pt idx="4">
                  <c:v>360.75</c:v>
                </c:pt>
                <c:pt idx="5">
                  <c:v>174.67</c:v>
                </c:pt>
                <c:pt idx="6">
                  <c:v>83.99</c:v>
                </c:pt>
              </c:numCache>
            </c:numRef>
          </c:yVal>
          <c:smooth val="1"/>
          <c:extLst>
            <c:ext xmlns:c16="http://schemas.microsoft.com/office/drawing/2014/chart" uri="{C3380CC4-5D6E-409C-BE32-E72D297353CC}">
              <c16:uniqueId val="{00000001-0E4B-4D04-9FF5-FF1F40E57441}"/>
            </c:ext>
          </c:extLst>
        </c:ser>
        <c:ser>
          <c:idx val="3"/>
          <c:order val="2"/>
          <c:tx>
            <c:strRef>
              <c:f>'Lookup Table'!$G$4</c:f>
              <c:strCache>
                <c:ptCount val="1"/>
                <c:pt idx="0">
                  <c:v>0.470</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Table'!$G$6:$G$12</c:f>
              <c:numCache>
                <c:formatCode>0.00</c:formatCode>
                <c:ptCount val="7"/>
                <c:pt idx="0">
                  <c:v>1627.3</c:v>
                </c:pt>
                <c:pt idx="1">
                  <c:v>1151.4000000000001</c:v>
                </c:pt>
                <c:pt idx="2">
                  <c:v>661.59</c:v>
                </c:pt>
                <c:pt idx="3">
                  <c:v>345.38</c:v>
                </c:pt>
                <c:pt idx="4">
                  <c:v>166.37</c:v>
                </c:pt>
                <c:pt idx="5">
                  <c:v>80.34</c:v>
                </c:pt>
                <c:pt idx="6">
                  <c:v>38.593000000000004</c:v>
                </c:pt>
              </c:numCache>
            </c:numRef>
          </c:yVal>
          <c:smooth val="1"/>
          <c:extLst>
            <c:ext xmlns:c16="http://schemas.microsoft.com/office/drawing/2014/chart" uri="{C3380CC4-5D6E-409C-BE32-E72D297353CC}">
              <c16:uniqueId val="{00000002-0E4B-4D04-9FF5-FF1F40E57441}"/>
            </c:ext>
          </c:extLst>
        </c:ser>
        <c:ser>
          <c:idx val="2"/>
          <c:order val="3"/>
          <c:tx>
            <c:strRef>
              <c:f>'Lookup Table'!$H$4</c:f>
              <c:strCache>
                <c:ptCount val="1"/>
                <c:pt idx="0">
                  <c:v>1.0</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Table'!$H$6:$H$12</c:f>
              <c:numCache>
                <c:formatCode>0.00</c:formatCode>
                <c:ptCount val="7"/>
                <c:pt idx="0">
                  <c:v>870.51</c:v>
                </c:pt>
                <c:pt idx="1">
                  <c:v>574.38</c:v>
                </c:pt>
                <c:pt idx="2">
                  <c:v>316.68</c:v>
                </c:pt>
                <c:pt idx="3">
                  <c:v>162.11000000000001</c:v>
                </c:pt>
                <c:pt idx="4">
                  <c:v>77.328000000000003</c:v>
                </c:pt>
                <c:pt idx="5">
                  <c:v>37.222000000000001</c:v>
                </c:pt>
                <c:pt idx="6">
                  <c:v>17.885000000000002</c:v>
                </c:pt>
              </c:numCache>
            </c:numRef>
          </c:yVal>
          <c:smooth val="1"/>
          <c:extLst>
            <c:ext xmlns:c16="http://schemas.microsoft.com/office/drawing/2014/chart" uri="{C3380CC4-5D6E-409C-BE32-E72D297353CC}">
              <c16:uniqueId val="{00000003-0E4B-4D04-9FF5-FF1F40E57441}"/>
            </c:ext>
          </c:extLst>
        </c:ser>
        <c:ser>
          <c:idx val="1"/>
          <c:order val="4"/>
          <c:tx>
            <c:strRef>
              <c:f>'Lookup Table'!$I$4</c:f>
              <c:strCache>
                <c:ptCount val="1"/>
                <c:pt idx="0">
                  <c:v>3.3</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Table'!$I$6:$I$12</c:f>
              <c:numCache>
                <c:formatCode>0.00</c:formatCode>
                <c:ptCount val="7"/>
                <c:pt idx="0">
                  <c:v>307.93</c:v>
                </c:pt>
                <c:pt idx="1">
                  <c:v>193.87</c:v>
                </c:pt>
                <c:pt idx="2">
                  <c:v>103.57</c:v>
                </c:pt>
                <c:pt idx="3">
                  <c:v>52.06</c:v>
                </c:pt>
                <c:pt idx="4">
                  <c:v>24.640999999999998</c:v>
                </c:pt>
                <c:pt idx="5">
                  <c:v>11.824999999999999</c:v>
                </c:pt>
                <c:pt idx="6">
                  <c:v>5.6805000000000003</c:v>
                </c:pt>
              </c:numCache>
            </c:numRef>
          </c:yVal>
          <c:smooth val="1"/>
          <c:extLst>
            <c:ext xmlns:c16="http://schemas.microsoft.com/office/drawing/2014/chart" uri="{C3380CC4-5D6E-409C-BE32-E72D297353CC}">
              <c16:uniqueId val="{00000004-0E4B-4D04-9FF5-FF1F40E57441}"/>
            </c:ext>
          </c:extLst>
        </c:ser>
        <c:ser>
          <c:idx val="0"/>
          <c:order val="5"/>
          <c:tx>
            <c:strRef>
              <c:f>'Lookup Table'!$J$4</c:f>
              <c:strCache>
                <c:ptCount val="1"/>
                <c:pt idx="0">
                  <c:v>6.8</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Table'!$J$6:$J$12</c:f>
              <c:numCache>
                <c:formatCode>0.00</c:formatCode>
                <c:ptCount val="7"/>
                <c:pt idx="0">
                  <c:v>155.21</c:v>
                </c:pt>
                <c:pt idx="1">
                  <c:v>96.516000000000005</c:v>
                </c:pt>
                <c:pt idx="2">
                  <c:v>51.093000000000004</c:v>
                </c:pt>
                <c:pt idx="3">
                  <c:v>25.545999999999999</c:v>
                </c:pt>
                <c:pt idx="4">
                  <c:v>12.053000000000001</c:v>
                </c:pt>
                <c:pt idx="5">
                  <c:v>5.7763999999999998</c:v>
                </c:pt>
                <c:pt idx="6">
                  <c:v>2.7713000000000001</c:v>
                </c:pt>
              </c:numCache>
            </c:numRef>
          </c:yVal>
          <c:smooth val="1"/>
          <c:extLst>
            <c:ext xmlns:c16="http://schemas.microsoft.com/office/drawing/2014/chart" uri="{C3380CC4-5D6E-409C-BE32-E72D297353CC}">
              <c16:uniqueId val="{00000005-0E4B-4D04-9FF5-FF1F40E57441}"/>
            </c:ext>
          </c:extLst>
        </c:ser>
        <c:dLbls>
          <c:showLegendKey val="0"/>
          <c:showVal val="0"/>
          <c:showCatName val="0"/>
          <c:showSerName val="0"/>
          <c:showPercent val="0"/>
          <c:showBubbleSize val="0"/>
        </c:dLbls>
        <c:axId val="955232856"/>
        <c:axId val="955233216"/>
      </c:scatterChart>
      <c:valAx>
        <c:axId val="955232856"/>
        <c:scaling>
          <c:logBase val="10"/>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RT resistance (k</a:t>
                </a:r>
                <a:r>
                  <a:rPr lang="el-GR"/>
                  <a:t>Ω</a:t>
                </a:r>
                <a:r>
                  <a:rPr lang="en-US"/>
                  <a: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5233216"/>
        <c:crosses val="autoZero"/>
        <c:crossBetween val="midCat"/>
      </c:valAx>
      <c:valAx>
        <c:axId val="955233216"/>
        <c:scaling>
          <c:logBase val="10"/>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RTCT Frequency (kHz)</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5232856"/>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Oscillator Maximum duty Cycle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'Lookup Table'!$U$4</c:f>
              <c:strCache>
                <c:ptCount val="1"/>
                <c:pt idx="0">
                  <c:v>6.8nF</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Table'!$U$6:$U$12</c:f>
              <c:numCache>
                <c:formatCode>0%</c:formatCode>
                <c:ptCount val="7"/>
                <c:pt idx="0">
                  <c:v>0.60943999999999998</c:v>
                </c:pt>
                <c:pt idx="1">
                  <c:v>0.82074999999999998</c:v>
                </c:pt>
                <c:pt idx="2">
                  <c:v>0.91486000000000001</c:v>
                </c:pt>
                <c:pt idx="3">
                  <c:v>0.95943000000000001</c:v>
                </c:pt>
                <c:pt idx="4">
                  <c:v>0.98126999999999998</c:v>
                </c:pt>
                <c:pt idx="5">
                  <c:v>0.99111000000000005</c:v>
                </c:pt>
                <c:pt idx="6">
                  <c:v>0.99575000000000002</c:v>
                </c:pt>
              </c:numCache>
            </c:numRef>
          </c:yVal>
          <c:smooth val="1"/>
          <c:extLst>
            <c:ext xmlns:c16="http://schemas.microsoft.com/office/drawing/2014/chart" uri="{C3380CC4-5D6E-409C-BE32-E72D297353CC}">
              <c16:uniqueId val="{00000005-B43C-4C3B-8B93-E971C2E7FE88}"/>
            </c:ext>
          </c:extLst>
        </c:ser>
        <c:ser>
          <c:idx val="1"/>
          <c:order val="1"/>
          <c:tx>
            <c:strRef>
              <c:f>'Lookup Table'!$T$4</c:f>
              <c:strCache>
                <c:ptCount val="1"/>
                <c:pt idx="0">
                  <c:v>3.3nF</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Table'!$T$6:$T$12</c:f>
              <c:numCache>
                <c:formatCode>0%</c:formatCode>
                <c:ptCount val="7"/>
                <c:pt idx="0">
                  <c:v>0.60409999999999997</c:v>
                </c:pt>
                <c:pt idx="1">
                  <c:v>0.81549000000000005</c:v>
                </c:pt>
                <c:pt idx="2">
                  <c:v>0.91159999999999997</c:v>
                </c:pt>
                <c:pt idx="3">
                  <c:v>0.95760000000000001</c:v>
                </c:pt>
                <c:pt idx="4">
                  <c:v>0.98038999999999998</c:v>
                </c:pt>
                <c:pt idx="5">
                  <c:v>0.99065999999999999</c:v>
                </c:pt>
                <c:pt idx="6">
                  <c:v>0.99553999999999998</c:v>
                </c:pt>
              </c:numCache>
            </c:numRef>
          </c:yVal>
          <c:smooth val="1"/>
          <c:extLst>
            <c:ext xmlns:c16="http://schemas.microsoft.com/office/drawing/2014/chart" uri="{C3380CC4-5D6E-409C-BE32-E72D297353CC}">
              <c16:uniqueId val="{00000004-B43C-4C3B-8B93-E971C2E7FE88}"/>
            </c:ext>
          </c:extLst>
        </c:ser>
        <c:ser>
          <c:idx val="2"/>
          <c:order val="2"/>
          <c:tx>
            <c:strRef>
              <c:f>'Lookup Table'!$S$4</c:f>
              <c:strCache>
                <c:ptCount val="1"/>
                <c:pt idx="0">
                  <c:v>1nF</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Table'!$S$6:$S$12</c:f>
              <c:numCache>
                <c:formatCode>0%</c:formatCode>
                <c:ptCount val="7"/>
                <c:pt idx="0">
                  <c:v>0.58328000000000002</c:v>
                </c:pt>
                <c:pt idx="1">
                  <c:v>0.79508000000000001</c:v>
                </c:pt>
                <c:pt idx="2">
                  <c:v>0.89876</c:v>
                </c:pt>
                <c:pt idx="3">
                  <c:v>0.95050999999999997</c:v>
                </c:pt>
                <c:pt idx="4">
                  <c:v>0.97689999999999999</c:v>
                </c:pt>
                <c:pt idx="5">
                  <c:v>0.98895999999999995</c:v>
                </c:pt>
                <c:pt idx="6">
                  <c:v>0.99472000000000005</c:v>
                </c:pt>
              </c:numCache>
            </c:numRef>
          </c:yVal>
          <c:smooth val="1"/>
          <c:extLst>
            <c:ext xmlns:c16="http://schemas.microsoft.com/office/drawing/2014/chart" uri="{C3380CC4-5D6E-409C-BE32-E72D297353CC}">
              <c16:uniqueId val="{00000003-B43C-4C3B-8B93-E971C2E7FE88}"/>
            </c:ext>
          </c:extLst>
        </c:ser>
        <c:ser>
          <c:idx val="3"/>
          <c:order val="3"/>
          <c:tx>
            <c:strRef>
              <c:f>'Lookup Table'!$R$4</c:f>
              <c:strCache>
                <c:ptCount val="1"/>
                <c:pt idx="0">
                  <c:v>470pF</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Table'!$R$6:$R$12</c:f>
              <c:numCache>
                <c:formatCode>0%</c:formatCode>
                <c:ptCount val="7"/>
                <c:pt idx="0">
                  <c:v>0.55686999999999998</c:v>
                </c:pt>
                <c:pt idx="1">
                  <c:v>0.76788000000000001</c:v>
                </c:pt>
                <c:pt idx="2">
                  <c:v>0.88122999999999996</c:v>
                </c:pt>
                <c:pt idx="3">
                  <c:v>0.94091999999999998</c:v>
                </c:pt>
                <c:pt idx="4">
                  <c:v>0.97209999999999996</c:v>
                </c:pt>
                <c:pt idx="5">
                  <c:v>0.98662000000000005</c:v>
                </c:pt>
                <c:pt idx="6">
                  <c:v>0.99358999999999997</c:v>
                </c:pt>
              </c:numCache>
            </c:numRef>
          </c:yVal>
          <c:smooth val="1"/>
          <c:extLst>
            <c:ext xmlns:c16="http://schemas.microsoft.com/office/drawing/2014/chart" uri="{C3380CC4-5D6E-409C-BE32-E72D297353CC}">
              <c16:uniqueId val="{00000002-B43C-4C3B-8B93-E971C2E7FE88}"/>
            </c:ext>
          </c:extLst>
        </c:ser>
        <c:ser>
          <c:idx val="4"/>
          <c:order val="4"/>
          <c:tx>
            <c:strRef>
              <c:f>'Lookup Table'!$Q$4</c:f>
              <c:strCache>
                <c:ptCount val="1"/>
                <c:pt idx="0">
                  <c:v>220pF</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Table'!$Q$6:$Q$12</c:f>
              <c:numCache>
                <c:formatCode>0%</c:formatCode>
                <c:ptCount val="7"/>
                <c:pt idx="0">
                  <c:v>0.52483999999999997</c:v>
                </c:pt>
                <c:pt idx="1">
                  <c:v>0.73175999999999997</c:v>
                </c:pt>
                <c:pt idx="2">
                  <c:v>0.85589999999999999</c:v>
                </c:pt>
                <c:pt idx="3">
                  <c:v>0.92662999999999995</c:v>
                </c:pt>
                <c:pt idx="4">
                  <c:v>0.96496999999999999</c:v>
                </c:pt>
                <c:pt idx="5">
                  <c:v>0.98312999999999995</c:v>
                </c:pt>
                <c:pt idx="6">
                  <c:v>0.99190999999999996</c:v>
                </c:pt>
              </c:numCache>
            </c:numRef>
          </c:yVal>
          <c:smooth val="1"/>
          <c:extLst>
            <c:ext xmlns:c16="http://schemas.microsoft.com/office/drawing/2014/chart" uri="{C3380CC4-5D6E-409C-BE32-E72D297353CC}">
              <c16:uniqueId val="{00000001-B43C-4C3B-8B93-E971C2E7FE88}"/>
            </c:ext>
          </c:extLst>
        </c:ser>
        <c:ser>
          <c:idx val="5"/>
          <c:order val="5"/>
          <c:tx>
            <c:strRef>
              <c:f>'Lookup Table'!$P$4</c:f>
              <c:strCache>
                <c:ptCount val="1"/>
                <c:pt idx="0">
                  <c:v>100pF</c:v>
                </c:pt>
              </c:strCache>
            </c:strRef>
          </c:tx>
          <c:spPr>
            <a:ln w="19050" cap="rnd">
              <a:solidFill>
                <a:schemeClr val="accent6"/>
              </a:solidFill>
              <a:round/>
            </a:ln>
            <a:effectLst/>
          </c:spPr>
          <c:marker>
            <c:symbol val="circle"/>
            <c:size val="5"/>
            <c:spPr>
              <a:solidFill>
                <a:schemeClr val="accent6"/>
              </a:solidFill>
              <a:ln w="9525">
                <a:solidFill>
                  <a:schemeClr val="accent6"/>
                </a:solidFill>
              </a:ln>
              <a:effectLst/>
            </c:spPr>
          </c:marker>
          <c:xVal>
            <c:numRef>
              <c:f>'Lookup Table'!$N$6:$N$12</c:f>
              <c:numCache>
                <c:formatCode>General</c:formatCode>
                <c:ptCount val="7"/>
                <c:pt idx="0">
                  <c:v>1</c:v>
                </c:pt>
                <c:pt idx="1">
                  <c:v>2.2000000000000002</c:v>
                </c:pt>
                <c:pt idx="2">
                  <c:v>4.7</c:v>
                </c:pt>
                <c:pt idx="3">
                  <c:v>10</c:v>
                </c:pt>
                <c:pt idx="4">
                  <c:v>22</c:v>
                </c:pt>
                <c:pt idx="5">
                  <c:v>47</c:v>
                </c:pt>
                <c:pt idx="6">
                  <c:v>100</c:v>
                </c:pt>
              </c:numCache>
            </c:numRef>
          </c:xVal>
          <c:yVal>
            <c:numRef>
              <c:f>'Lookup Table'!$P$6:$P$12</c:f>
              <c:numCache>
                <c:formatCode>0%</c:formatCode>
                <c:ptCount val="7"/>
                <c:pt idx="0">
                  <c:v>0.51600000000000001</c:v>
                </c:pt>
                <c:pt idx="1">
                  <c:v>0.70399999999999996</c:v>
                </c:pt>
                <c:pt idx="2">
                  <c:v>0.82947000000000004</c:v>
                </c:pt>
                <c:pt idx="3">
                  <c:v>0.91003000000000001</c:v>
                </c:pt>
                <c:pt idx="4">
                  <c:v>0.95598000000000005</c:v>
                </c:pt>
                <c:pt idx="5">
                  <c:v>0.97880999999999996</c:v>
                </c:pt>
                <c:pt idx="6">
                  <c:v>0.98985999999999996</c:v>
                </c:pt>
              </c:numCache>
            </c:numRef>
          </c:yVal>
          <c:smooth val="1"/>
          <c:extLst>
            <c:ext xmlns:c16="http://schemas.microsoft.com/office/drawing/2014/chart" uri="{C3380CC4-5D6E-409C-BE32-E72D297353CC}">
              <c16:uniqueId val="{00000000-B43C-4C3B-8B93-E971C2E7FE88}"/>
            </c:ext>
          </c:extLst>
        </c:ser>
        <c:dLbls>
          <c:showLegendKey val="0"/>
          <c:showVal val="0"/>
          <c:showCatName val="0"/>
          <c:showSerName val="0"/>
          <c:showPercent val="0"/>
          <c:showBubbleSize val="0"/>
        </c:dLbls>
        <c:axId val="955232856"/>
        <c:axId val="955233216"/>
      </c:scatterChart>
      <c:valAx>
        <c:axId val="955232856"/>
        <c:scaling>
          <c:logBase val="10"/>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RT resistance (k</a:t>
                </a:r>
                <a:r>
                  <a:rPr lang="el-GR"/>
                  <a:t>Ω</a:t>
                </a:r>
                <a:r>
                  <a:rPr lang="en-US"/>
                  <a: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5233216"/>
        <c:crosses val="autoZero"/>
        <c:crossBetween val="midCat"/>
      </c:valAx>
      <c:valAx>
        <c:axId val="955233216"/>
        <c:scaling>
          <c:orientation val="minMax"/>
          <c:max val="1"/>
          <c:min val="0.5"/>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RTCT Frequency (kHz)</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5232856"/>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2722</xdr:colOff>
      <xdr:row>0</xdr:row>
      <xdr:rowOff>71664</xdr:rowOff>
    </xdr:from>
    <xdr:to>
      <xdr:col>0</xdr:col>
      <xdr:colOff>2423245</xdr:colOff>
      <xdr:row>3</xdr:row>
      <xdr:rowOff>33626</xdr:rowOff>
    </xdr:to>
    <xdr:pic>
      <xdr:nvPicPr>
        <xdr:cNvPr id="2" name="Picture 1">
          <a:extLst>
            <a:ext uri="{FF2B5EF4-FFF2-40B4-BE49-F238E27FC236}">
              <a16:creationId xmlns:a16="http://schemas.microsoft.com/office/drawing/2014/main" id="{D0486AC9-D098-48FF-9283-C824A98586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2322" y="71664"/>
          <a:ext cx="2420523" cy="514412"/>
        </a:xfrm>
        <a:prstGeom prst="rect">
          <a:avLst/>
        </a:prstGeom>
      </xdr:spPr>
    </xdr:pic>
    <xdr:clientData/>
  </xdr:twoCellAnchor>
  <xdr:twoCellAnchor>
    <xdr:from>
      <xdr:col>4</xdr:col>
      <xdr:colOff>149225</xdr:colOff>
      <xdr:row>0</xdr:row>
      <xdr:rowOff>136525</xdr:rowOff>
    </xdr:from>
    <xdr:to>
      <xdr:col>12</xdr:col>
      <xdr:colOff>82550</xdr:colOff>
      <xdr:row>15</xdr:row>
      <xdr:rowOff>107950</xdr:rowOff>
    </xdr:to>
    <xdr:graphicFrame macro="">
      <xdr:nvGraphicFramePr>
        <xdr:cNvPr id="5" name="Chart 4">
          <a:extLst>
            <a:ext uri="{FF2B5EF4-FFF2-40B4-BE49-F238E27FC236}">
              <a16:creationId xmlns:a16="http://schemas.microsoft.com/office/drawing/2014/main" id="{C3B97CD3-F4DD-4716-89F2-3B6B796DA2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171450</xdr:colOff>
      <xdr:row>16</xdr:row>
      <xdr:rowOff>63500</xdr:rowOff>
    </xdr:from>
    <xdr:to>
      <xdr:col>12</xdr:col>
      <xdr:colOff>73024</xdr:colOff>
      <xdr:row>18</xdr:row>
      <xdr:rowOff>2771774</xdr:rowOff>
    </xdr:to>
    <xdr:graphicFrame macro="">
      <xdr:nvGraphicFramePr>
        <xdr:cNvPr id="6" name="Chart 5">
          <a:extLst>
            <a:ext uri="{FF2B5EF4-FFF2-40B4-BE49-F238E27FC236}">
              <a16:creationId xmlns:a16="http://schemas.microsoft.com/office/drawing/2014/main" id="{EDB779B5-FA36-402F-978A-12DD1D0A40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15</xdr:row>
      <xdr:rowOff>0</xdr:rowOff>
    </xdr:from>
    <xdr:to>
      <xdr:col>11</xdr:col>
      <xdr:colOff>431800</xdr:colOff>
      <xdr:row>38</xdr:row>
      <xdr:rowOff>76200</xdr:rowOff>
    </xdr:to>
    <xdr:graphicFrame macro="">
      <xdr:nvGraphicFramePr>
        <xdr:cNvPr id="7" name="Chart 6">
          <a:extLst>
            <a:ext uri="{FF2B5EF4-FFF2-40B4-BE49-F238E27FC236}">
              <a16:creationId xmlns:a16="http://schemas.microsoft.com/office/drawing/2014/main" id="{D3D79F33-AC22-4FE4-959A-5B65C0B769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222250</xdr:colOff>
      <xdr:row>15</xdr:row>
      <xdr:rowOff>0</xdr:rowOff>
    </xdr:from>
    <xdr:to>
      <xdr:col>24</xdr:col>
      <xdr:colOff>133350</xdr:colOff>
      <xdr:row>38</xdr:row>
      <xdr:rowOff>50800</xdr:rowOff>
    </xdr:to>
    <xdr:graphicFrame macro="">
      <xdr:nvGraphicFramePr>
        <xdr:cNvPr id="8" name="Chart 7">
          <a:extLst>
            <a:ext uri="{FF2B5EF4-FFF2-40B4-BE49-F238E27FC236}">
              <a16:creationId xmlns:a16="http://schemas.microsoft.com/office/drawing/2014/main" id="{5CEAA16E-B268-4FDE-A6B5-893839E376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591C8-66A7-4B71-AAAA-DD6B3520F01B}">
  <dimension ref="A2:D19"/>
  <sheetViews>
    <sheetView tabSelected="1" workbookViewId="0">
      <selection activeCell="B14" sqref="B14"/>
    </sheetView>
  </sheetViews>
  <sheetFormatPr defaultRowHeight="14.5" x14ac:dyDescent="0.35"/>
  <cols>
    <col min="1" max="1" width="60" customWidth="1"/>
    <col min="2" max="2" width="17.1796875" customWidth="1"/>
  </cols>
  <sheetData>
    <row r="2" spans="1:4" x14ac:dyDescent="0.35">
      <c r="B2" s="9"/>
      <c r="C2" s="10" t="s">
        <v>12</v>
      </c>
    </row>
    <row r="3" spans="1:4" x14ac:dyDescent="0.35">
      <c r="B3" s="11"/>
      <c r="C3" s="10" t="s">
        <v>45</v>
      </c>
    </row>
    <row r="6" spans="1:4" x14ac:dyDescent="0.35">
      <c r="A6" s="28" t="s">
        <v>64</v>
      </c>
      <c r="B6" s="28">
        <f>MAX('Revision History'!C4:C15)</f>
        <v>1.1000000000000001</v>
      </c>
      <c r="C6" s="28" t="s">
        <v>26</v>
      </c>
      <c r="D6" s="28"/>
    </row>
    <row r="8" spans="1:4" ht="29" x14ac:dyDescent="0.35">
      <c r="A8" s="12" t="s">
        <v>65</v>
      </c>
      <c r="B8" s="6">
        <v>3.3</v>
      </c>
      <c r="C8" s="7" t="s">
        <v>13</v>
      </c>
    </row>
    <row r="9" spans="1:4" ht="29" x14ac:dyDescent="0.35">
      <c r="A9" s="12" t="s">
        <v>50</v>
      </c>
      <c r="B9" s="6">
        <v>10</v>
      </c>
      <c r="C9" s="20" t="s">
        <v>32</v>
      </c>
    </row>
    <row r="10" spans="1:4" x14ac:dyDescent="0.35">
      <c r="A10" s="5" t="s">
        <v>35</v>
      </c>
      <c r="B10" s="8">
        <f>'Lookup Table'!AD42</f>
        <v>52.060000000000016</v>
      </c>
      <c r="C10" s="7" t="s">
        <v>11</v>
      </c>
    </row>
    <row r="11" spans="1:4" x14ac:dyDescent="0.35">
      <c r="A11" s="5" t="s">
        <v>46</v>
      </c>
      <c r="B11" s="24">
        <f>'Lookup Table'!AI42</f>
        <v>0.95760000000000023</v>
      </c>
      <c r="C11" s="7"/>
    </row>
    <row r="12" spans="1:4" x14ac:dyDescent="0.35">
      <c r="A12" s="5"/>
      <c r="B12" s="25"/>
      <c r="C12" s="7"/>
    </row>
    <row r="13" spans="1:4" x14ac:dyDescent="0.35">
      <c r="A13" s="5" t="s">
        <v>14</v>
      </c>
      <c r="B13" s="6" t="s">
        <v>17</v>
      </c>
      <c r="C13" s="7"/>
    </row>
    <row r="14" spans="1:4" x14ac:dyDescent="0.35">
      <c r="A14" s="5" t="s">
        <v>41</v>
      </c>
      <c r="B14" s="14">
        <f>_xlfn.XLOOKUP(B13,'Lookup Table'!B47:B52,'Lookup Table'!E47:E52)</f>
        <v>1</v>
      </c>
      <c r="C14" s="7"/>
    </row>
    <row r="15" spans="1:4" x14ac:dyDescent="0.35">
      <c r="A15" s="5" t="s">
        <v>47</v>
      </c>
      <c r="B15" s="8">
        <f>B10/B14</f>
        <v>52.060000000000016</v>
      </c>
      <c r="C15" s="7" t="s">
        <v>11</v>
      </c>
    </row>
    <row r="16" spans="1:4" x14ac:dyDescent="0.35">
      <c r="A16" s="5" t="s">
        <v>48</v>
      </c>
      <c r="B16" s="24">
        <f>B11/B14</f>
        <v>0.95760000000000023</v>
      </c>
      <c r="C16" s="7"/>
    </row>
    <row r="19" spans="1:1" ht="273.5" x14ac:dyDescent="0.35">
      <c r="A19" s="27" t="s">
        <v>49</v>
      </c>
    </row>
  </sheetData>
  <pageMargins left="0.7" right="0.7" top="0.75" bottom="0.75" header="0.3" footer="0.3"/>
  <pageSetup orientation="portrait" horizontalDpi="300"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08D8CBD-9193-43AE-8BC5-A80833633534}">
          <x14:formula1>
            <xm:f>'Lookup Table'!$B$47:$B$52</xm:f>
          </x14:formula1>
          <xm:sqref>B13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E50BA-B389-4DA7-AF55-1FF17375CF0F}">
  <dimension ref="B2:AU65"/>
  <sheetViews>
    <sheetView topLeftCell="A25" zoomScale="85" zoomScaleNormal="85" workbookViewId="0">
      <selection activeCell="R55" sqref="R55"/>
    </sheetView>
  </sheetViews>
  <sheetFormatPr defaultRowHeight="14.5" x14ac:dyDescent="0.35"/>
  <cols>
    <col min="1" max="1" width="3.453125" bestFit="1" customWidth="1"/>
    <col min="12" max="12" width="3.453125" bestFit="1" customWidth="1"/>
    <col min="25" max="25" width="3.453125" bestFit="1" customWidth="1"/>
    <col min="36" max="36" width="8" bestFit="1" customWidth="1"/>
  </cols>
  <sheetData>
    <row r="2" spans="2:47" x14ac:dyDescent="0.35">
      <c r="C2" t="s">
        <v>43</v>
      </c>
      <c r="N2" t="s">
        <v>44</v>
      </c>
    </row>
    <row r="3" spans="2:47" x14ac:dyDescent="0.35">
      <c r="E3" s="34" t="s">
        <v>9</v>
      </c>
      <c r="F3" s="34"/>
      <c r="G3" s="34"/>
      <c r="H3" s="34"/>
      <c r="I3" s="34"/>
      <c r="J3" s="34"/>
      <c r="P3" s="34" t="s">
        <v>9</v>
      </c>
      <c r="Q3" s="34"/>
      <c r="R3" s="34"/>
      <c r="S3" s="34"/>
      <c r="T3" s="34"/>
      <c r="U3" s="34"/>
      <c r="AC3" t="s">
        <v>51</v>
      </c>
      <c r="AN3" t="s">
        <v>52</v>
      </c>
    </row>
    <row r="4" spans="2:47" x14ac:dyDescent="0.35">
      <c r="E4" s="29">
        <f t="shared" ref="E4:I4" si="0">E5*1000000000</f>
        <v>0.1</v>
      </c>
      <c r="F4" s="29">
        <f t="shared" si="0"/>
        <v>0.22</v>
      </c>
      <c r="G4" s="29">
        <f t="shared" si="0"/>
        <v>0.47000000000000003</v>
      </c>
      <c r="H4" s="30">
        <f t="shared" si="0"/>
        <v>1</v>
      </c>
      <c r="I4" s="30">
        <f t="shared" si="0"/>
        <v>3.3000000000000003</v>
      </c>
      <c r="J4" s="30">
        <f>J5*1000000000</f>
        <v>6.8001000000000005</v>
      </c>
      <c r="K4" t="s">
        <v>13</v>
      </c>
      <c r="P4" s="3" t="s">
        <v>5</v>
      </c>
      <c r="Q4" s="3" t="s">
        <v>4</v>
      </c>
      <c r="R4" s="3" t="s">
        <v>3</v>
      </c>
      <c r="S4" s="3" t="s">
        <v>0</v>
      </c>
      <c r="T4" s="3" t="s">
        <v>1</v>
      </c>
      <c r="U4" s="3" t="s">
        <v>2</v>
      </c>
      <c r="AE4" s="34" t="s">
        <v>9</v>
      </c>
      <c r="AF4" s="34"/>
      <c r="AG4" s="34"/>
      <c r="AH4" s="34"/>
      <c r="AI4" s="34"/>
      <c r="AJ4" s="34"/>
      <c r="AP4" s="34" t="s">
        <v>9</v>
      </c>
      <c r="AQ4" s="34"/>
      <c r="AR4" s="34"/>
      <c r="AS4" s="34"/>
      <c r="AT4" s="34"/>
      <c r="AU4" s="34"/>
    </row>
    <row r="5" spans="2:47" x14ac:dyDescent="0.35">
      <c r="E5" s="1">
        <v>1E-10</v>
      </c>
      <c r="F5" s="1">
        <v>2.1999999999999999E-10</v>
      </c>
      <c r="G5" s="1">
        <v>4.7000000000000003E-10</v>
      </c>
      <c r="H5" s="1">
        <v>1.0000000000000001E-9</v>
      </c>
      <c r="I5" s="1">
        <v>3.3000000000000002E-9</v>
      </c>
      <c r="J5" s="1">
        <v>6.8001000000000001E-9</v>
      </c>
      <c r="K5" t="s">
        <v>6</v>
      </c>
      <c r="P5" s="1">
        <v>1E-10</v>
      </c>
      <c r="Q5" s="1">
        <v>2.1999999999999999E-10</v>
      </c>
      <c r="R5" s="1">
        <v>4.7000000000000003E-10</v>
      </c>
      <c r="S5" s="1">
        <v>1.0000000000000001E-9</v>
      </c>
      <c r="T5" s="1">
        <v>3.3000000000000002E-9</v>
      </c>
      <c r="U5" s="1">
        <v>6.7999999999999997E-9</v>
      </c>
      <c r="AE5" s="29">
        <f t="shared" ref="AE5:AI5" si="1">AE6*1000000000</f>
        <v>0.1</v>
      </c>
      <c r="AF5" s="29">
        <f t="shared" si="1"/>
        <v>0.22</v>
      </c>
      <c r="AG5" s="29">
        <f t="shared" si="1"/>
        <v>0.47000000000000003</v>
      </c>
      <c r="AH5" s="30">
        <f t="shared" si="1"/>
        <v>1</v>
      </c>
      <c r="AI5" s="30">
        <f t="shared" si="1"/>
        <v>3.3000000000000003</v>
      </c>
      <c r="AJ5" s="30">
        <f>AJ6*1000000000</f>
        <v>6.8001000000000005</v>
      </c>
      <c r="AK5" t="s">
        <v>13</v>
      </c>
      <c r="AP5" s="3" t="s">
        <v>5</v>
      </c>
      <c r="AQ5" s="3" t="s">
        <v>4</v>
      </c>
      <c r="AR5" s="3" t="s">
        <v>3</v>
      </c>
      <c r="AS5" s="3" t="s">
        <v>0</v>
      </c>
      <c r="AT5" s="3" t="s">
        <v>1</v>
      </c>
      <c r="AU5" s="3" t="s">
        <v>2</v>
      </c>
    </row>
    <row r="6" spans="2:47" x14ac:dyDescent="0.35">
      <c r="B6" s="35" t="s">
        <v>10</v>
      </c>
      <c r="C6" s="4">
        <f>D6/1000</f>
        <v>1</v>
      </c>
      <c r="D6">
        <v>1000</v>
      </c>
      <c r="E6" s="31">
        <v>4494.3999999999996</v>
      </c>
      <c r="F6" s="31">
        <v>2840.9</v>
      </c>
      <c r="G6" s="31">
        <v>1627.3</v>
      </c>
      <c r="H6" s="31">
        <v>870.51</v>
      </c>
      <c r="I6" s="31">
        <v>307.93</v>
      </c>
      <c r="J6" s="31">
        <v>155.21</v>
      </c>
      <c r="M6" s="35" t="s">
        <v>10</v>
      </c>
      <c r="N6" s="4">
        <f>O6/1000</f>
        <v>1</v>
      </c>
      <c r="O6">
        <v>1000</v>
      </c>
      <c r="P6" s="2">
        <v>0.51600000000000001</v>
      </c>
      <c r="Q6" s="2">
        <v>0.52483999999999997</v>
      </c>
      <c r="R6" s="2">
        <v>0.55686999999999998</v>
      </c>
      <c r="S6" s="2">
        <v>0.58328000000000002</v>
      </c>
      <c r="T6" s="2">
        <v>0.60409999999999997</v>
      </c>
      <c r="U6" s="2">
        <v>0.60943999999999998</v>
      </c>
      <c r="AE6" s="1">
        <v>1E-10</v>
      </c>
      <c r="AF6" s="1">
        <v>2.1999999999999999E-10</v>
      </c>
      <c r="AG6" s="1">
        <v>4.7000000000000003E-10</v>
      </c>
      <c r="AH6" s="1">
        <v>1.0000000000000001E-9</v>
      </c>
      <c r="AI6" s="1">
        <v>3.3000000000000002E-9</v>
      </c>
      <c r="AJ6" s="1">
        <v>6.8001000000000001E-9</v>
      </c>
      <c r="AK6" t="s">
        <v>6</v>
      </c>
      <c r="AP6" s="1">
        <v>1E-10</v>
      </c>
      <c r="AQ6" s="1">
        <v>2.1999999999999999E-10</v>
      </c>
      <c r="AR6" s="1">
        <v>4.7000000000000003E-10</v>
      </c>
      <c r="AS6" s="1">
        <v>1.0000000000000001E-9</v>
      </c>
      <c r="AT6" s="1">
        <v>3.3000000000000002E-9</v>
      </c>
      <c r="AU6" s="1">
        <v>6.7999999999999997E-9</v>
      </c>
    </row>
    <row r="7" spans="2:47" x14ac:dyDescent="0.35">
      <c r="B7" s="35"/>
      <c r="C7" s="4">
        <f t="shared" ref="C7:C12" si="2">D7/1000</f>
        <v>2.2000000000000002</v>
      </c>
      <c r="D7">
        <v>2200</v>
      </c>
      <c r="E7" s="31">
        <v>4042.4</v>
      </c>
      <c r="F7" s="31">
        <v>2215.5</v>
      </c>
      <c r="G7" s="31">
        <v>1151.4000000000001</v>
      </c>
      <c r="H7" s="31">
        <v>574.38</v>
      </c>
      <c r="I7" s="31">
        <v>193.87</v>
      </c>
      <c r="J7" s="31">
        <v>96.516000000000005</v>
      </c>
      <c r="M7" s="35"/>
      <c r="N7" s="4">
        <f t="shared" ref="N7:N12" si="3">O7/1000</f>
        <v>2.2000000000000002</v>
      </c>
      <c r="O7">
        <v>2200</v>
      </c>
      <c r="P7" s="2">
        <v>0.70399999999999996</v>
      </c>
      <c r="Q7" s="2">
        <v>0.73175999999999997</v>
      </c>
      <c r="R7" s="2">
        <v>0.76788000000000001</v>
      </c>
      <c r="S7" s="2">
        <v>0.79508000000000001</v>
      </c>
      <c r="T7" s="2">
        <v>0.81549000000000005</v>
      </c>
      <c r="U7" s="2">
        <v>0.82074999999999998</v>
      </c>
      <c r="AB7" s="35" t="s">
        <v>10</v>
      </c>
      <c r="AC7" s="4">
        <f>AD7/1000</f>
        <v>1</v>
      </c>
      <c r="AD7">
        <v>1000</v>
      </c>
      <c r="AE7" s="31">
        <f>1000/E6</f>
        <v>0.22249911000356001</v>
      </c>
      <c r="AF7" s="31">
        <f t="shared" ref="AF7:AI7" si="4">1000/F6</f>
        <v>0.35200112640360448</v>
      </c>
      <c r="AG7" s="31">
        <f t="shared" si="4"/>
        <v>0.61451484053339889</v>
      </c>
      <c r="AH7" s="31">
        <f t="shared" si="4"/>
        <v>1.1487518810812052</v>
      </c>
      <c r="AI7" s="31">
        <f t="shared" si="4"/>
        <v>3.2474913129607379</v>
      </c>
      <c r="AJ7" s="26">
        <v>155.21</v>
      </c>
      <c r="AM7" s="35" t="s">
        <v>10</v>
      </c>
      <c r="AN7" s="4">
        <f>AO7/1000</f>
        <v>1</v>
      </c>
      <c r="AO7">
        <v>1000</v>
      </c>
      <c r="AP7" s="32">
        <f>P6*AE7</f>
        <v>0.11480954076183697</v>
      </c>
      <c r="AQ7" s="32">
        <f t="shared" ref="AQ7:AU7" si="5">Q6*AF7</f>
        <v>0.18474427118166778</v>
      </c>
      <c r="AR7" s="32">
        <f t="shared" si="5"/>
        <v>0.34220487924783383</v>
      </c>
      <c r="AS7" s="32">
        <f t="shared" si="5"/>
        <v>0.67004399719704544</v>
      </c>
      <c r="AT7" s="32">
        <f t="shared" si="5"/>
        <v>1.9618095021595816</v>
      </c>
      <c r="AU7" s="32">
        <f t="shared" si="5"/>
        <v>94.591182400000008</v>
      </c>
    </row>
    <row r="8" spans="2:47" x14ac:dyDescent="0.35">
      <c r="B8" s="35"/>
      <c r="C8" s="4">
        <f t="shared" si="2"/>
        <v>4.7</v>
      </c>
      <c r="D8">
        <v>4700</v>
      </c>
      <c r="E8" s="31">
        <v>2726.7</v>
      </c>
      <c r="F8" s="31">
        <v>1369.2</v>
      </c>
      <c r="G8" s="31">
        <v>661.59</v>
      </c>
      <c r="H8" s="31">
        <v>316.68</v>
      </c>
      <c r="I8" s="31">
        <v>103.57</v>
      </c>
      <c r="J8" s="31">
        <v>51.093000000000004</v>
      </c>
      <c r="M8" s="35"/>
      <c r="N8" s="4">
        <f t="shared" si="3"/>
        <v>4.7</v>
      </c>
      <c r="O8">
        <v>4700</v>
      </c>
      <c r="P8" s="2">
        <v>0.82947000000000004</v>
      </c>
      <c r="Q8" s="2">
        <v>0.85589999999999999</v>
      </c>
      <c r="R8" s="2">
        <v>0.88122999999999996</v>
      </c>
      <c r="S8" s="2">
        <v>0.89876</v>
      </c>
      <c r="T8" s="2">
        <v>0.91159999999999997</v>
      </c>
      <c r="U8" s="2">
        <v>0.91486000000000001</v>
      </c>
      <c r="AB8" s="35"/>
      <c r="AC8" s="4">
        <f t="shared" ref="AC8:AC13" si="6">AD8/1000</f>
        <v>2.2000000000000002</v>
      </c>
      <c r="AD8">
        <v>2200</v>
      </c>
      <c r="AE8" s="31">
        <f t="shared" ref="AE8:AE13" si="7">1000/E7</f>
        <v>0.24737779536908766</v>
      </c>
      <c r="AF8" s="31">
        <f t="shared" ref="AF8:AF13" si="8">1000/F7</f>
        <v>0.45136538027533291</v>
      </c>
      <c r="AG8" s="31">
        <f t="shared" ref="AG8:AG13" si="9">1000/G7</f>
        <v>0.86850790342192108</v>
      </c>
      <c r="AH8" s="31">
        <f t="shared" ref="AH8:AH13" si="10">1000/H7</f>
        <v>1.741007695254013</v>
      </c>
      <c r="AI8" s="31">
        <f t="shared" ref="AI8:AI13" si="11">1000/I7</f>
        <v>5.1580956310930004</v>
      </c>
      <c r="AJ8" s="26">
        <v>96.516000000000005</v>
      </c>
      <c r="AM8" s="35"/>
      <c r="AN8" s="4">
        <f t="shared" ref="AN8:AN13" si="12">AO8/1000</f>
        <v>2.2000000000000002</v>
      </c>
      <c r="AO8">
        <v>2200</v>
      </c>
      <c r="AP8" s="32">
        <f t="shared" ref="AP8:AP13" si="13">P7*AE8</f>
        <v>0.1741539679398377</v>
      </c>
      <c r="AQ8" s="32">
        <f t="shared" ref="AQ8:AQ13" si="14">Q7*AF8</f>
        <v>0.3302911306702776</v>
      </c>
      <c r="AR8" s="32">
        <f t="shared" ref="AR8:AR13" si="15">R7*AG8</f>
        <v>0.66690984887962479</v>
      </c>
      <c r="AS8" s="32">
        <f t="shared" ref="AS8:AS13" si="16">S7*AH8</f>
        <v>1.3842403983425606</v>
      </c>
      <c r="AT8" s="32">
        <f t="shared" ref="AT8:AT13" si="17">T7*AI8</f>
        <v>4.2063754062000314</v>
      </c>
      <c r="AU8" s="32">
        <f t="shared" ref="AU8:AU13" si="18">U7*AJ8</f>
        <v>79.215507000000002</v>
      </c>
    </row>
    <row r="9" spans="2:47" x14ac:dyDescent="0.35">
      <c r="B9" s="35"/>
      <c r="C9" s="4">
        <f t="shared" si="2"/>
        <v>10</v>
      </c>
      <c r="D9">
        <v>10000</v>
      </c>
      <c r="E9" s="31">
        <v>1538.5</v>
      </c>
      <c r="F9" s="31">
        <v>737.46</v>
      </c>
      <c r="G9" s="31">
        <v>345.38</v>
      </c>
      <c r="H9" s="31">
        <v>162.11000000000001</v>
      </c>
      <c r="I9" s="31">
        <v>52.06</v>
      </c>
      <c r="J9" s="31">
        <v>25.545999999999999</v>
      </c>
      <c r="M9" s="35"/>
      <c r="N9" s="4">
        <f t="shared" si="3"/>
        <v>10</v>
      </c>
      <c r="O9">
        <v>10000</v>
      </c>
      <c r="P9" s="2">
        <v>0.91003000000000001</v>
      </c>
      <c r="Q9" s="2">
        <v>0.92662999999999995</v>
      </c>
      <c r="R9" s="2">
        <v>0.94091999999999998</v>
      </c>
      <c r="S9" s="2">
        <v>0.95050999999999997</v>
      </c>
      <c r="T9" s="2">
        <v>0.95760000000000001</v>
      </c>
      <c r="U9" s="2">
        <v>0.95943000000000001</v>
      </c>
      <c r="AB9" s="35"/>
      <c r="AC9" s="4">
        <f t="shared" si="6"/>
        <v>4.7</v>
      </c>
      <c r="AD9">
        <v>4700</v>
      </c>
      <c r="AE9" s="31">
        <f t="shared" si="7"/>
        <v>0.36674368284006309</v>
      </c>
      <c r="AF9" s="31">
        <f t="shared" si="8"/>
        <v>0.73035349108968739</v>
      </c>
      <c r="AG9" s="31">
        <f t="shared" si="9"/>
        <v>1.5115101497906558</v>
      </c>
      <c r="AH9" s="31">
        <f t="shared" si="10"/>
        <v>3.1577617784514334</v>
      </c>
      <c r="AI9" s="31">
        <f t="shared" si="11"/>
        <v>9.6553055904219374</v>
      </c>
      <c r="AJ9" s="26">
        <v>51.093000000000004</v>
      </c>
      <c r="AM9" s="35"/>
      <c r="AN9" s="4">
        <f t="shared" si="12"/>
        <v>4.7</v>
      </c>
      <c r="AO9">
        <v>4700</v>
      </c>
      <c r="AP9" s="32">
        <f t="shared" si="13"/>
        <v>0.30420288260534717</v>
      </c>
      <c r="AQ9" s="32">
        <f t="shared" si="14"/>
        <v>0.62510955302366344</v>
      </c>
      <c r="AR9" s="32">
        <f t="shared" si="15"/>
        <v>1.3319880893000196</v>
      </c>
      <c r="AS9" s="32">
        <f t="shared" si="16"/>
        <v>2.8380699760010102</v>
      </c>
      <c r="AT9" s="32">
        <f t="shared" si="17"/>
        <v>8.8017765762286384</v>
      </c>
      <c r="AU9" s="32">
        <f t="shared" si="18"/>
        <v>46.742941980000005</v>
      </c>
    </row>
    <row r="10" spans="2:47" x14ac:dyDescent="0.35">
      <c r="B10" s="35"/>
      <c r="C10" s="4">
        <f t="shared" si="2"/>
        <v>22</v>
      </c>
      <c r="D10">
        <v>22000</v>
      </c>
      <c r="E10" s="31">
        <v>777.23</v>
      </c>
      <c r="F10" s="31">
        <v>360.75</v>
      </c>
      <c r="G10" s="31">
        <v>166.37</v>
      </c>
      <c r="H10" s="31">
        <v>77.328000000000003</v>
      </c>
      <c r="I10" s="31">
        <v>24.640999999999998</v>
      </c>
      <c r="J10" s="31">
        <v>12.053000000000001</v>
      </c>
      <c r="M10" s="35"/>
      <c r="N10" s="4">
        <f t="shared" si="3"/>
        <v>22</v>
      </c>
      <c r="O10">
        <v>22000</v>
      </c>
      <c r="P10" s="2">
        <v>0.95598000000000005</v>
      </c>
      <c r="Q10" s="2">
        <v>0.96496999999999999</v>
      </c>
      <c r="R10" s="2">
        <v>0.97209999999999996</v>
      </c>
      <c r="S10" s="2">
        <v>0.97689999999999999</v>
      </c>
      <c r="T10" s="2">
        <v>0.98038999999999998</v>
      </c>
      <c r="U10" s="2">
        <v>0.98126999999999998</v>
      </c>
      <c r="AB10" s="35"/>
      <c r="AC10" s="4">
        <f t="shared" si="6"/>
        <v>10</v>
      </c>
      <c r="AD10">
        <v>10000</v>
      </c>
      <c r="AE10" s="31">
        <f t="shared" si="7"/>
        <v>0.64998375040623979</v>
      </c>
      <c r="AF10" s="31">
        <f t="shared" si="8"/>
        <v>1.3560057494643776</v>
      </c>
      <c r="AG10" s="31">
        <f t="shared" si="9"/>
        <v>2.8953616306676704</v>
      </c>
      <c r="AH10" s="31">
        <f t="shared" si="10"/>
        <v>6.1686509160446601</v>
      </c>
      <c r="AI10" s="31">
        <f t="shared" si="11"/>
        <v>19.208605455243948</v>
      </c>
      <c r="AJ10" s="26">
        <v>25.545999999999999</v>
      </c>
      <c r="AM10" s="35"/>
      <c r="AN10" s="4">
        <f t="shared" si="12"/>
        <v>10</v>
      </c>
      <c r="AO10">
        <v>10000</v>
      </c>
      <c r="AP10" s="32">
        <f t="shared" si="13"/>
        <v>0.59150471238219038</v>
      </c>
      <c r="AQ10" s="32">
        <f t="shared" si="14"/>
        <v>1.2565156076261761</v>
      </c>
      <c r="AR10" s="32">
        <f t="shared" si="15"/>
        <v>2.7243036655278243</v>
      </c>
      <c r="AS10" s="32">
        <f t="shared" si="16"/>
        <v>5.8633643822096095</v>
      </c>
      <c r="AT10" s="32">
        <f t="shared" si="17"/>
        <v>18.394160583941606</v>
      </c>
      <c r="AU10" s="32">
        <f t="shared" si="18"/>
        <v>24.509598780000001</v>
      </c>
    </row>
    <row r="11" spans="2:47" x14ac:dyDescent="0.35">
      <c r="B11" s="35"/>
      <c r="C11" s="4">
        <f t="shared" si="2"/>
        <v>47</v>
      </c>
      <c r="D11">
        <v>47000</v>
      </c>
      <c r="E11" s="31">
        <v>377.91</v>
      </c>
      <c r="F11" s="31">
        <v>174.67</v>
      </c>
      <c r="G11" s="31">
        <v>80.34</v>
      </c>
      <c r="H11" s="31">
        <v>37.222000000000001</v>
      </c>
      <c r="I11" s="31">
        <v>11.824999999999999</v>
      </c>
      <c r="J11" s="31">
        <v>5.7763999999999998</v>
      </c>
      <c r="M11" s="35"/>
      <c r="N11" s="4">
        <f t="shared" si="3"/>
        <v>47</v>
      </c>
      <c r="O11">
        <v>47000</v>
      </c>
      <c r="P11" s="2">
        <v>0.97880999999999996</v>
      </c>
      <c r="Q11" s="2">
        <v>0.98312999999999995</v>
      </c>
      <c r="R11" s="2">
        <v>0.98662000000000005</v>
      </c>
      <c r="S11" s="2">
        <v>0.98895999999999995</v>
      </c>
      <c r="T11" s="2">
        <v>0.99065999999999999</v>
      </c>
      <c r="U11" s="2">
        <v>0.99111000000000005</v>
      </c>
      <c r="AB11" s="35"/>
      <c r="AC11" s="4">
        <f t="shared" si="6"/>
        <v>22</v>
      </c>
      <c r="AD11">
        <v>22000</v>
      </c>
      <c r="AE11" s="31">
        <f t="shared" si="7"/>
        <v>1.2866204341057343</v>
      </c>
      <c r="AF11" s="31">
        <f t="shared" si="8"/>
        <v>2.772002772002772</v>
      </c>
      <c r="AG11" s="31">
        <f t="shared" si="9"/>
        <v>6.0106990442988515</v>
      </c>
      <c r="AH11" s="31">
        <f t="shared" si="10"/>
        <v>12.931926339747568</v>
      </c>
      <c r="AI11" s="31">
        <f t="shared" si="11"/>
        <v>40.582768556470924</v>
      </c>
      <c r="AJ11" s="26">
        <v>12.053000000000001</v>
      </c>
      <c r="AM11" s="35"/>
      <c r="AN11" s="4">
        <f t="shared" si="12"/>
        <v>22</v>
      </c>
      <c r="AO11">
        <v>22000</v>
      </c>
      <c r="AP11" s="32">
        <f t="shared" si="13"/>
        <v>1.2299834025964</v>
      </c>
      <c r="AQ11" s="32">
        <f t="shared" si="14"/>
        <v>2.6748995148995149</v>
      </c>
      <c r="AR11" s="32">
        <f t="shared" si="15"/>
        <v>5.8430005409629135</v>
      </c>
      <c r="AS11" s="32">
        <f t="shared" si="16"/>
        <v>12.633198841299398</v>
      </c>
      <c r="AT11" s="32">
        <f t="shared" si="17"/>
        <v>39.78694046507853</v>
      </c>
      <c r="AU11" s="32">
        <f t="shared" si="18"/>
        <v>11.827247310000001</v>
      </c>
    </row>
    <row r="12" spans="2:47" x14ac:dyDescent="0.35">
      <c r="B12" s="35"/>
      <c r="C12" s="4">
        <f t="shared" si="2"/>
        <v>100.001</v>
      </c>
      <c r="D12">
        <v>100001</v>
      </c>
      <c r="E12" s="31">
        <v>181.7</v>
      </c>
      <c r="F12" s="31">
        <v>83.99</v>
      </c>
      <c r="G12" s="31">
        <v>38.593000000000004</v>
      </c>
      <c r="H12" s="31">
        <v>17.885000000000002</v>
      </c>
      <c r="I12" s="31">
        <v>5.6805000000000003</v>
      </c>
      <c r="J12" s="31">
        <v>2.7713000000000001</v>
      </c>
      <c r="M12" s="35"/>
      <c r="N12" s="4">
        <f t="shared" si="3"/>
        <v>100</v>
      </c>
      <c r="O12">
        <v>100000</v>
      </c>
      <c r="P12" s="2">
        <v>0.98985999999999996</v>
      </c>
      <c r="Q12" s="2">
        <v>0.99190999999999996</v>
      </c>
      <c r="R12" s="2">
        <v>0.99358999999999997</v>
      </c>
      <c r="S12" s="2">
        <v>0.99472000000000005</v>
      </c>
      <c r="T12" s="2">
        <v>0.99553999999999998</v>
      </c>
      <c r="U12" s="2">
        <v>0.99575000000000002</v>
      </c>
      <c r="AB12" s="35"/>
      <c r="AC12" s="4">
        <f t="shared" si="6"/>
        <v>47</v>
      </c>
      <c r="AD12">
        <v>47000</v>
      </c>
      <c r="AE12" s="31">
        <f t="shared" si="7"/>
        <v>2.6461326770924294</v>
      </c>
      <c r="AF12" s="31">
        <f t="shared" si="8"/>
        <v>5.7250815824125496</v>
      </c>
      <c r="AG12" s="31">
        <f t="shared" si="9"/>
        <v>12.447099825740603</v>
      </c>
      <c r="AH12" s="31">
        <f t="shared" si="10"/>
        <v>26.865832034818116</v>
      </c>
      <c r="AI12" s="31">
        <f t="shared" si="11"/>
        <v>84.566596194503177</v>
      </c>
      <c r="AJ12" s="26">
        <v>5.7763999999999998</v>
      </c>
      <c r="AM12" s="35"/>
      <c r="AN12" s="4">
        <f t="shared" si="12"/>
        <v>47</v>
      </c>
      <c r="AO12">
        <v>47000</v>
      </c>
      <c r="AP12" s="32">
        <f t="shared" si="13"/>
        <v>2.5900611256648407</v>
      </c>
      <c r="AQ12" s="32">
        <f t="shared" si="14"/>
        <v>5.6284994561172494</v>
      </c>
      <c r="AR12" s="32">
        <f t="shared" si="15"/>
        <v>12.280557630072193</v>
      </c>
      <c r="AS12" s="32">
        <f t="shared" si="16"/>
        <v>26.569233249153722</v>
      </c>
      <c r="AT12" s="32">
        <f t="shared" si="17"/>
        <v>83.776744186046514</v>
      </c>
      <c r="AU12" s="32">
        <f t="shared" si="18"/>
        <v>5.7250478039999999</v>
      </c>
    </row>
    <row r="13" spans="2:47" x14ac:dyDescent="0.35">
      <c r="C13" s="3" t="s">
        <v>8</v>
      </c>
      <c r="D13" s="3" t="s">
        <v>7</v>
      </c>
      <c r="N13" s="3" t="s">
        <v>8</v>
      </c>
      <c r="O13" s="3" t="s">
        <v>7</v>
      </c>
      <c r="AB13" s="35"/>
      <c r="AC13" s="4">
        <f t="shared" si="6"/>
        <v>100.001</v>
      </c>
      <c r="AD13">
        <v>100001</v>
      </c>
      <c r="AE13" s="31">
        <f t="shared" si="7"/>
        <v>5.5035773252614204</v>
      </c>
      <c r="AF13" s="31">
        <f t="shared" si="8"/>
        <v>11.906179307060365</v>
      </c>
      <c r="AG13" s="31">
        <f t="shared" si="9"/>
        <v>25.911434716140231</v>
      </c>
      <c r="AH13" s="31">
        <f t="shared" si="10"/>
        <v>55.912776069331841</v>
      </c>
      <c r="AI13" s="31">
        <f t="shared" si="11"/>
        <v>176.04084147522224</v>
      </c>
      <c r="AJ13" s="26">
        <v>2.7713000000000001</v>
      </c>
      <c r="AM13" s="35"/>
      <c r="AN13" s="4">
        <f t="shared" si="12"/>
        <v>100</v>
      </c>
      <c r="AO13">
        <v>100000</v>
      </c>
      <c r="AP13" s="32">
        <f t="shared" si="13"/>
        <v>5.4477710511832695</v>
      </c>
      <c r="AQ13" s="32">
        <f t="shared" si="14"/>
        <v>11.809858316466245</v>
      </c>
      <c r="AR13" s="32">
        <f t="shared" si="15"/>
        <v>25.745342419609774</v>
      </c>
      <c r="AS13" s="32">
        <f t="shared" si="16"/>
        <v>55.617556611685771</v>
      </c>
      <c r="AT13" s="32">
        <f t="shared" si="17"/>
        <v>175.25569932224275</v>
      </c>
      <c r="AU13" s="32">
        <f t="shared" si="18"/>
        <v>2.7595219750000002</v>
      </c>
    </row>
    <row r="14" spans="2:47" x14ac:dyDescent="0.35">
      <c r="AC14" s="3" t="s">
        <v>8</v>
      </c>
      <c r="AD14" s="3" t="s">
        <v>7</v>
      </c>
      <c r="AN14" s="3" t="s">
        <v>8</v>
      </c>
      <c r="AO14" s="3" t="s">
        <v>7</v>
      </c>
    </row>
    <row r="31" spans="29:30" x14ac:dyDescent="0.35">
      <c r="AC31" t="s">
        <v>36</v>
      </c>
      <c r="AD31">
        <f>INDEX(CT_values,MATCH(I50,CT_values,1))</f>
        <v>3.3000000000000002E-9</v>
      </c>
    </row>
    <row r="32" spans="29:30" x14ac:dyDescent="0.35">
      <c r="AC32" t="s">
        <v>37</v>
      </c>
      <c r="AD32" cm="1">
        <f t="array" ref="AD32">INDEX(CT_values,MATCH(I50,CT_values,1)+1)</f>
        <v>6.8001000000000001E-9</v>
      </c>
    </row>
    <row r="33" spans="2:35" x14ac:dyDescent="0.35">
      <c r="AC33" t="s">
        <v>38</v>
      </c>
      <c r="AD33">
        <f>INDEX(RT_values,MATCH(I51,RT_values,1))</f>
        <v>10000</v>
      </c>
    </row>
    <row r="34" spans="2:35" x14ac:dyDescent="0.35">
      <c r="AC34" t="s">
        <v>39</v>
      </c>
      <c r="AD34" cm="1">
        <f t="array" ref="AD34">INDEX(RT_values,MATCH(I51,RT_values,1)+1)</f>
        <v>22000</v>
      </c>
    </row>
    <row r="36" spans="2:35" x14ac:dyDescent="0.35">
      <c r="AC36" t="s">
        <v>53</v>
      </c>
      <c r="AD36">
        <f>INDEX(T_values,MATCH(R_1,RT_values,0),MATCH(C_1,CT_values,0))</f>
        <v>19.208605455243948</v>
      </c>
      <c r="AH36" t="s">
        <v>59</v>
      </c>
      <c r="AI36">
        <f>INDEX(ontime_values,MATCH(R_1,RT_values,0),MATCH(C_1,CT_values,0))</f>
        <v>18.394160583941606</v>
      </c>
    </row>
    <row r="37" spans="2:35" x14ac:dyDescent="0.35">
      <c r="AC37" t="s">
        <v>54</v>
      </c>
      <c r="AD37">
        <f>INDEX(T_values,MATCH(R_2,RT_values,0),MATCH(C_1,CT_values,0))</f>
        <v>40.582768556470924</v>
      </c>
      <c r="AH37" t="s">
        <v>60</v>
      </c>
      <c r="AI37">
        <f>INDEX(ontime_values,MATCH(R_2,RT_values,0),MATCH(C_1,CT_values,0))</f>
        <v>39.78694046507853</v>
      </c>
    </row>
    <row r="38" spans="2:35" x14ac:dyDescent="0.35">
      <c r="AC38" t="s">
        <v>55</v>
      </c>
      <c r="AD38">
        <f>INDEX(T_values,MATCH(R_1,RT_values,0),MATCH(C_2,CT_values,0))</f>
        <v>25.545999999999999</v>
      </c>
      <c r="AH38" t="s">
        <v>61</v>
      </c>
      <c r="AI38">
        <f>INDEX(ontime_values,MATCH(R_1,RT_values,0),MATCH(C_2,CT_values,0))</f>
        <v>24.509598780000001</v>
      </c>
    </row>
    <row r="39" spans="2:35" x14ac:dyDescent="0.35">
      <c r="AC39" t="s">
        <v>56</v>
      </c>
      <c r="AD39">
        <f>INDEX(T_values,MATCH(R_2,RT_values,0),MATCH(C_2,CT_values,0))</f>
        <v>12.053000000000001</v>
      </c>
      <c r="AH39" t="s">
        <v>62</v>
      </c>
      <c r="AI39">
        <f>INDEX(ontime_values,MATCH(R_2,RT_values,0),MATCH(C_2,CT_values,0))</f>
        <v>11.827247310000001</v>
      </c>
    </row>
    <row r="41" spans="2:35" x14ac:dyDescent="0.35">
      <c r="AC41" t="s">
        <v>57</v>
      </c>
      <c r="AD41" s="22">
        <f>1/((C_2-C_1)*(R_2-R_1))*(T_11*(C_2-CT_sel)*(R_2-RT_sel)+T_21*(CT_sel-C_1)*(R_2-RT_sel)+T_12*(C_2-CT_sel)*(RT_sel-R_1)+T_22*(CT_sel-C_1)*(RT_sel-R_1))</f>
        <v>19.208605455243944</v>
      </c>
      <c r="AE41" t="s">
        <v>58</v>
      </c>
      <c r="AH41" t="s">
        <v>63</v>
      </c>
      <c r="AI41" s="33">
        <f>1/((C_2-C_1)*(R_2-R_1))*(OT_11*(C_2-CT_sel)*(R_2-RT_sel)+OT_21*(CT_sel-C_1)*(R_2-RT_sel)+OT_12*(C_2-CT_sel)*(RT_sel-R_1)+OT_22*(CT_sel-C_1)*(RT_sel-R_1))</f>
        <v>18.394160583941606</v>
      </c>
    </row>
    <row r="42" spans="2:35" x14ac:dyDescent="0.35">
      <c r="AC42" t="s">
        <v>40</v>
      </c>
      <c r="AD42">
        <f>1000/AD41</f>
        <v>52.060000000000016</v>
      </c>
      <c r="AE42" t="s">
        <v>11</v>
      </c>
      <c r="AH42" t="s">
        <v>42</v>
      </c>
      <c r="AI42" s="23">
        <f>AI41/AD41</f>
        <v>0.95760000000000023</v>
      </c>
    </row>
    <row r="46" spans="2:35" x14ac:dyDescent="0.35">
      <c r="B46" t="s">
        <v>15</v>
      </c>
      <c r="C46" t="s">
        <v>22</v>
      </c>
      <c r="D46" t="s">
        <v>23</v>
      </c>
      <c r="E46" t="s">
        <v>24</v>
      </c>
    </row>
    <row r="47" spans="2:35" x14ac:dyDescent="0.35">
      <c r="B47" t="s">
        <v>17</v>
      </c>
      <c r="C47">
        <v>7</v>
      </c>
      <c r="D47" s="13">
        <v>1</v>
      </c>
      <c r="E47">
        <f>1/D47</f>
        <v>1</v>
      </c>
    </row>
    <row r="48" spans="2:35" x14ac:dyDescent="0.35">
      <c r="B48" t="s">
        <v>16</v>
      </c>
      <c r="C48">
        <v>7</v>
      </c>
      <c r="D48" s="13">
        <v>0.5</v>
      </c>
      <c r="E48">
        <f t="shared" ref="E48:E52" si="19">1/D48</f>
        <v>2</v>
      </c>
      <c r="I48" t="str">
        <f>_xlfn.CONCAT("Selection: ",Main!B8,Main!C8)</f>
        <v>Selection: 3.3nF</v>
      </c>
    </row>
    <row r="49" spans="2:10" x14ac:dyDescent="0.35">
      <c r="B49" t="s">
        <v>18</v>
      </c>
      <c r="C49">
        <v>8.4</v>
      </c>
      <c r="D49" s="13">
        <v>1</v>
      </c>
      <c r="E49">
        <f t="shared" si="19"/>
        <v>1</v>
      </c>
    </row>
    <row r="50" spans="2:10" x14ac:dyDescent="0.35">
      <c r="B50" t="s">
        <v>19</v>
      </c>
      <c r="C50">
        <v>8.4</v>
      </c>
      <c r="D50" s="13">
        <v>0.5</v>
      </c>
      <c r="E50">
        <f t="shared" si="19"/>
        <v>2</v>
      </c>
      <c r="H50" s="5" t="s">
        <v>33</v>
      </c>
      <c r="I50" s="21">
        <f>Main!B8*0.000000001</f>
        <v>3.3000000000000002E-9</v>
      </c>
      <c r="J50" s="20" t="s">
        <v>30</v>
      </c>
    </row>
    <row r="51" spans="2:10" x14ac:dyDescent="0.35">
      <c r="B51" t="s">
        <v>20</v>
      </c>
      <c r="C51">
        <v>7</v>
      </c>
      <c r="D51" s="13">
        <v>0.5</v>
      </c>
      <c r="E51">
        <f t="shared" si="19"/>
        <v>2</v>
      </c>
      <c r="H51" s="5" t="s">
        <v>34</v>
      </c>
      <c r="I51" s="21">
        <f>Main!B9*1000</f>
        <v>10000</v>
      </c>
      <c r="J51" s="20" t="s">
        <v>31</v>
      </c>
    </row>
    <row r="52" spans="2:10" x14ac:dyDescent="0.35">
      <c r="B52" t="s">
        <v>21</v>
      </c>
      <c r="C52">
        <v>8.4</v>
      </c>
      <c r="D52" s="13">
        <v>1</v>
      </c>
      <c r="E52">
        <f t="shared" si="19"/>
        <v>1</v>
      </c>
    </row>
    <row r="55" spans="2:10" x14ac:dyDescent="0.35">
      <c r="C55" s="1"/>
      <c r="H55" t="s">
        <v>36</v>
      </c>
      <c r="I55">
        <f>INDEX(CT_values,MATCH(I50,CT_values,1))</f>
        <v>3.3000000000000002E-9</v>
      </c>
    </row>
    <row r="56" spans="2:10" x14ac:dyDescent="0.35">
      <c r="C56" s="1"/>
      <c r="H56" t="s">
        <v>37</v>
      </c>
      <c r="I56" cm="1">
        <f t="array" ref="I56">INDEX(CT_values,MATCH(I50,CT_values,1)+1)</f>
        <v>6.8001000000000001E-9</v>
      </c>
    </row>
    <row r="57" spans="2:10" x14ac:dyDescent="0.35">
      <c r="H57" t="s">
        <v>38</v>
      </c>
      <c r="I57">
        <f>INDEX(RT_values,MATCH(I51,RT_values,1))</f>
        <v>10000</v>
      </c>
    </row>
    <row r="58" spans="2:10" x14ac:dyDescent="0.35">
      <c r="H58" t="s">
        <v>39</v>
      </c>
      <c r="I58" cm="1">
        <f t="array" ref="I58">INDEX(RT_values,MATCH(I51,RT_values,1)+1)</f>
        <v>22000</v>
      </c>
    </row>
    <row r="65" spans="9:14" x14ac:dyDescent="0.35">
      <c r="I65" s="22"/>
      <c r="N65" s="23"/>
    </row>
  </sheetData>
  <mergeCells count="8">
    <mergeCell ref="AP4:AU4"/>
    <mergeCell ref="AM7:AM13"/>
    <mergeCell ref="P3:U3"/>
    <mergeCell ref="M6:M12"/>
    <mergeCell ref="B6:B12"/>
    <mergeCell ref="E3:J3"/>
    <mergeCell ref="AE4:AJ4"/>
    <mergeCell ref="AB7:AB1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DCC69-BBF2-4E30-97DA-8947DA52DAEF}">
  <dimension ref="B3:D8"/>
  <sheetViews>
    <sheetView workbookViewId="0">
      <selection activeCell="B6" sqref="B6"/>
    </sheetView>
  </sheetViews>
  <sheetFormatPr defaultRowHeight="14.5" x14ac:dyDescent="0.35"/>
  <cols>
    <col min="2" max="2" width="10.7265625" bestFit="1" customWidth="1"/>
    <col min="4" max="4" width="72.7265625" customWidth="1"/>
  </cols>
  <sheetData>
    <row r="3" spans="2:4" x14ac:dyDescent="0.35">
      <c r="B3" s="15" t="s">
        <v>25</v>
      </c>
      <c r="C3" s="15" t="s">
        <v>26</v>
      </c>
      <c r="D3" s="15" t="s">
        <v>27</v>
      </c>
    </row>
    <row r="4" spans="2:4" ht="15" customHeight="1" x14ac:dyDescent="0.35">
      <c r="B4" s="16">
        <v>45643</v>
      </c>
      <c r="C4" s="17" t="s">
        <v>28</v>
      </c>
      <c r="D4" s="18" t="s">
        <v>29</v>
      </c>
    </row>
    <row r="5" spans="2:4" x14ac:dyDescent="0.35">
      <c r="B5" s="16">
        <v>45818</v>
      </c>
      <c r="C5" s="19">
        <v>1.1000000000000001</v>
      </c>
      <c r="D5" s="18" t="s">
        <v>66</v>
      </c>
    </row>
    <row r="6" spans="2:4" x14ac:dyDescent="0.35">
      <c r="B6" s="16"/>
      <c r="C6" s="19"/>
      <c r="D6" s="18"/>
    </row>
    <row r="7" spans="2:4" x14ac:dyDescent="0.35">
      <c r="B7" s="16"/>
      <c r="C7" s="19"/>
      <c r="D7" s="18"/>
    </row>
    <row r="8" spans="2:4" x14ac:dyDescent="0.35">
      <c r="B8" s="16"/>
      <c r="C8" s="19"/>
      <c r="D8" s="18"/>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28</vt:i4>
      </vt:variant>
    </vt:vector>
  </HeadingPairs>
  <TitlesOfParts>
    <vt:vector size="31" baseType="lpstr">
      <vt:lpstr>Main</vt:lpstr>
      <vt:lpstr>Lookup Table</vt:lpstr>
      <vt:lpstr>Revision History</vt:lpstr>
      <vt:lpstr>C_1</vt:lpstr>
      <vt:lpstr>C_2</vt:lpstr>
      <vt:lpstr>CT_sel</vt:lpstr>
      <vt:lpstr>CT_values</vt:lpstr>
      <vt:lpstr>DC_11</vt:lpstr>
      <vt:lpstr>DC_12</vt:lpstr>
      <vt:lpstr>DC_21</vt:lpstr>
      <vt:lpstr>DC_22</vt:lpstr>
      <vt:lpstr>DC_values</vt:lpstr>
      <vt:lpstr>F_11</vt:lpstr>
      <vt:lpstr>F_12</vt:lpstr>
      <vt:lpstr>F_21</vt:lpstr>
      <vt:lpstr>F_22</vt:lpstr>
      <vt:lpstr>fosc_values</vt:lpstr>
      <vt:lpstr>ontime_values</vt:lpstr>
      <vt:lpstr>OT_11</vt:lpstr>
      <vt:lpstr>OT_12</vt:lpstr>
      <vt:lpstr>OT_21</vt:lpstr>
      <vt:lpstr>OT_22</vt:lpstr>
      <vt:lpstr>R_1</vt:lpstr>
      <vt:lpstr>R_2</vt:lpstr>
      <vt:lpstr>RT_sel</vt:lpstr>
      <vt:lpstr>RT_values</vt:lpstr>
      <vt:lpstr>T_11</vt:lpstr>
      <vt:lpstr>T_12</vt:lpstr>
      <vt:lpstr>T_21</vt:lpstr>
      <vt:lpstr>T_22</vt:lpstr>
      <vt:lpstr>T_values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 Kerley</dc:creator>
  <cp:lastModifiedBy>Ross Kerley</cp:lastModifiedBy>
  <dcterms:created xsi:type="dcterms:W3CDTF">2024-09-30T17:17:11Z</dcterms:created>
  <dcterms:modified xsi:type="dcterms:W3CDTF">2025-06-10T17:02:54Z</dcterms:modified>
</cp:coreProperties>
</file>