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111" documentId="13_ncr:1_{0DBEF433-AA17-4221-8949-D2C80F668C39}" xr6:coauthVersionLast="47" xr6:coauthVersionMax="47" xr10:uidLastSave="{9C60F627-DD42-4771-B904-96B2DFD5B932}"/>
  <bookViews>
    <workbookView xWindow="-110" yWindow="-110" windowWidth="19420" windowHeight="11500" activeTab="2" xr2:uid="{00000000-000D-0000-FFFF-FFFF00000000}"/>
  </bookViews>
  <sheets>
    <sheet name="worksheet" sheetId="1" r:id="rId1"/>
    <sheet name="IC parameters" sheetId="5" r:id="rId2"/>
    <sheet name="user guide line" sheetId="4" r:id="rId3"/>
    <sheet name="Sheet2" sheetId="2" state="hidden" r:id="rId4"/>
    <sheet name="Sheet3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27" i="1"/>
  <c r="F30" i="1"/>
  <c r="G4" i="2" l="1"/>
  <c r="G5" i="2"/>
  <c r="G6" i="2"/>
  <c r="G7" i="2"/>
  <c r="F23" i="1" l="1"/>
  <c r="F20" i="1" l="1"/>
  <c r="F9" i="1"/>
  <c r="F12" i="1"/>
  <c r="F14" i="1" s="1"/>
  <c r="F37" i="1" l="1"/>
  <c r="F22" i="1"/>
  <c r="F36" i="1"/>
  <c r="F21" i="1"/>
  <c r="F41" i="1"/>
  <c r="F43" i="1" s="1"/>
  <c r="F42" i="1" l="1"/>
  <c r="F51" i="1" s="1"/>
  <c r="F54" i="1" s="1"/>
  <c r="F44" i="1" l="1"/>
  <c r="F50" i="1" s="1"/>
  <c r="F52" i="1"/>
  <c r="F55" i="1" s="1"/>
  <c r="F45" i="1" l="1"/>
  <c r="F46" i="1" s="1"/>
</calcChain>
</file>

<file path=xl/sharedStrings.xml><?xml version="1.0" encoding="utf-8"?>
<sst xmlns="http://schemas.openxmlformats.org/spreadsheetml/2006/main" count="213" uniqueCount="183">
  <si>
    <t>Vac_min</t>
    <phoneticPr fontId="1" type="noConversion"/>
  </si>
  <si>
    <t>Minimum Input AC Voltage</t>
    <phoneticPr fontId="1" type="noConversion"/>
  </si>
  <si>
    <t>Maximum Input AC Voltage</t>
    <phoneticPr fontId="1" type="noConversion"/>
  </si>
  <si>
    <t>Vac_max</t>
    <phoneticPr fontId="1" type="noConversion"/>
  </si>
  <si>
    <t>Output Voltage</t>
    <phoneticPr fontId="1" type="noConversion"/>
  </si>
  <si>
    <t>Vo</t>
    <phoneticPr fontId="1" type="noConversion"/>
  </si>
  <si>
    <t>Io</t>
    <phoneticPr fontId="1" type="noConversion"/>
  </si>
  <si>
    <t>Vac</t>
    <phoneticPr fontId="1" type="noConversion"/>
  </si>
  <si>
    <t>A</t>
    <phoneticPr fontId="1" type="noConversion"/>
  </si>
  <si>
    <t>V</t>
    <phoneticPr fontId="1" type="noConversion"/>
  </si>
  <si>
    <t>Po</t>
    <phoneticPr fontId="1" type="noConversion"/>
  </si>
  <si>
    <t>W</t>
    <phoneticPr fontId="1" type="noConversion"/>
  </si>
  <si>
    <t>Estimated Efficiency</t>
    <phoneticPr fontId="1" type="noConversion"/>
  </si>
  <si>
    <t>ƞ</t>
    <phoneticPr fontId="1" type="noConversion"/>
  </si>
  <si>
    <t>%</t>
    <phoneticPr fontId="1" type="noConversion"/>
  </si>
  <si>
    <t>Input Power</t>
    <phoneticPr fontId="1" type="noConversion"/>
  </si>
  <si>
    <t>Pin</t>
    <phoneticPr fontId="1" type="noConversion"/>
  </si>
  <si>
    <t>Minimum DC Voltage</t>
    <phoneticPr fontId="1" type="noConversion"/>
  </si>
  <si>
    <t>V</t>
    <phoneticPr fontId="1" type="noConversion"/>
  </si>
  <si>
    <t>fac</t>
    <phoneticPr fontId="1" type="noConversion"/>
  </si>
  <si>
    <t>Hz</t>
    <phoneticPr fontId="1" type="noConversion"/>
  </si>
  <si>
    <t>Line Frequency</t>
    <phoneticPr fontId="1" type="noConversion"/>
  </si>
  <si>
    <t>Vdc_min</t>
    <phoneticPr fontId="1" type="noConversion"/>
  </si>
  <si>
    <t>Maximum DC Voltage</t>
    <phoneticPr fontId="1" type="noConversion"/>
  </si>
  <si>
    <t>Vdc_max</t>
    <phoneticPr fontId="1" type="noConversion"/>
  </si>
  <si>
    <t>np</t>
    <phoneticPr fontId="1" type="noConversion"/>
  </si>
  <si>
    <t>ns</t>
    <phoneticPr fontId="1" type="noConversion"/>
  </si>
  <si>
    <t>Turn Ratio</t>
    <phoneticPr fontId="1" type="noConversion"/>
  </si>
  <si>
    <t>Nps</t>
    <phoneticPr fontId="1" type="noConversion"/>
  </si>
  <si>
    <t>Primary-side Winding</t>
    <phoneticPr fontId="1" type="noConversion"/>
  </si>
  <si>
    <t>Secondary-side Winding</t>
    <phoneticPr fontId="1" type="noConversion"/>
  </si>
  <si>
    <t>Turns</t>
    <phoneticPr fontId="1" type="noConversion"/>
  </si>
  <si>
    <t>Turns</t>
    <phoneticPr fontId="1" type="noConversion"/>
  </si>
  <si>
    <t>Primary-side Switch Stress</t>
    <phoneticPr fontId="1" type="noConversion"/>
  </si>
  <si>
    <t>Vsec_ds</t>
    <phoneticPr fontId="1" type="noConversion"/>
  </si>
  <si>
    <t>Vpri_ds</t>
    <phoneticPr fontId="1" type="noConversion"/>
  </si>
  <si>
    <t>Lm</t>
    <phoneticPr fontId="1" type="noConversion"/>
  </si>
  <si>
    <t>Output Current</t>
    <phoneticPr fontId="1" type="noConversion"/>
  </si>
  <si>
    <t>Full Load Output Power</t>
    <phoneticPr fontId="1" type="noConversion"/>
  </si>
  <si>
    <t>Ohm</t>
    <phoneticPr fontId="1" type="noConversion"/>
  </si>
  <si>
    <t>Rsense1</t>
    <phoneticPr fontId="1" type="noConversion"/>
  </si>
  <si>
    <t>Rsense2</t>
    <phoneticPr fontId="1" type="noConversion"/>
  </si>
  <si>
    <t>Rsense</t>
    <phoneticPr fontId="1" type="noConversion"/>
  </si>
  <si>
    <t>Kcc</t>
    <phoneticPr fontId="1" type="noConversion"/>
  </si>
  <si>
    <t>Inner Current Reference</t>
    <phoneticPr fontId="1" type="noConversion"/>
  </si>
  <si>
    <t>A</t>
    <phoneticPr fontId="1" type="noConversion"/>
  </si>
  <si>
    <t>Operating Frequency</t>
    <phoneticPr fontId="1" type="noConversion"/>
  </si>
  <si>
    <t>kHz</t>
    <phoneticPr fontId="1" type="noConversion"/>
  </si>
  <si>
    <t>fs</t>
    <phoneticPr fontId="1" type="noConversion"/>
  </si>
  <si>
    <t>System Specifications</t>
    <phoneticPr fontId="1" type="noConversion"/>
  </si>
  <si>
    <t>Maximum Turn-on Time</t>
    <phoneticPr fontId="1" type="noConversion"/>
  </si>
  <si>
    <t>Ton_max</t>
    <phoneticPr fontId="1" type="noConversion"/>
  </si>
  <si>
    <t>Quasi-Resonant Frequency</t>
    <phoneticPr fontId="1" type="noConversion"/>
  </si>
  <si>
    <t>fr</t>
    <phoneticPr fontId="1" type="noConversion"/>
  </si>
  <si>
    <t>us</t>
    <phoneticPr fontId="1" type="noConversion"/>
  </si>
  <si>
    <t>Maximum Duty Cycle</t>
    <phoneticPr fontId="1" type="noConversion"/>
  </si>
  <si>
    <t>Dmax</t>
    <phoneticPr fontId="1" type="noConversion"/>
  </si>
  <si>
    <t>Vipk</t>
    <phoneticPr fontId="1" type="noConversion"/>
  </si>
  <si>
    <t>Constant Current Level</t>
    <phoneticPr fontId="1" type="noConversion"/>
  </si>
  <si>
    <t>Constant Current</t>
    <phoneticPr fontId="1" type="noConversion"/>
  </si>
  <si>
    <t>mV</t>
    <phoneticPr fontId="1" type="noConversion"/>
  </si>
  <si>
    <t>Magnetizing Inductance</t>
    <phoneticPr fontId="1" type="noConversion"/>
  </si>
  <si>
    <t>Peak Current Upper Limit</t>
    <phoneticPr fontId="1" type="noConversion"/>
  </si>
  <si>
    <t>Peak Current Lower Limit</t>
    <phoneticPr fontId="1" type="noConversion"/>
  </si>
  <si>
    <t>Vipk_lw</t>
    <phoneticPr fontId="1" type="noConversion"/>
  </si>
  <si>
    <t>Minimum Turn-on Time</t>
    <phoneticPr fontId="1" type="noConversion"/>
  </si>
  <si>
    <t>mH</t>
    <phoneticPr fontId="1" type="noConversion"/>
  </si>
  <si>
    <t>Ton_min</t>
    <phoneticPr fontId="1" type="noConversion"/>
  </si>
  <si>
    <t>Minimum Reset Time</t>
    <phoneticPr fontId="1" type="noConversion"/>
  </si>
  <si>
    <t>Trst_min</t>
    <phoneticPr fontId="1" type="noConversion"/>
  </si>
  <si>
    <t>&gt;LEB</t>
    <phoneticPr fontId="1" type="noConversion"/>
  </si>
  <si>
    <t>&gt;Knee LEB</t>
    <phoneticPr fontId="1" type="noConversion"/>
  </si>
  <si>
    <t>Window Aera</t>
    <phoneticPr fontId="1" type="noConversion"/>
  </si>
  <si>
    <t>Ae</t>
    <phoneticPr fontId="1" type="noConversion"/>
  </si>
  <si>
    <t>Key in</t>
    <phoneticPr fontId="1" type="noConversion"/>
  </si>
  <si>
    <t>Check</t>
    <phoneticPr fontId="1" type="noConversion"/>
  </si>
  <si>
    <t>Bmax</t>
    <phoneticPr fontId="1" type="noConversion"/>
  </si>
  <si>
    <t>mm2</t>
    <phoneticPr fontId="1" type="noConversion"/>
  </si>
  <si>
    <t>Guass</t>
    <phoneticPr fontId="1" type="noConversion"/>
  </si>
  <si>
    <t>Isec_rms</t>
    <phoneticPr fontId="1" type="noConversion"/>
  </si>
  <si>
    <t>Vipk_up</t>
    <phoneticPr fontId="1" type="noConversion"/>
  </si>
  <si>
    <t xml:space="preserve">RMS of Secondary Current </t>
    <phoneticPr fontId="1" type="noConversion"/>
  </si>
  <si>
    <t>Ipri_rms</t>
    <phoneticPr fontId="1" type="noConversion"/>
  </si>
  <si>
    <t>Check the wire diameter</t>
    <phoneticPr fontId="1" type="noConversion"/>
  </si>
  <si>
    <t>Auxiliary Winding</t>
    <phoneticPr fontId="1" type="noConversion"/>
  </si>
  <si>
    <t>Turns</t>
    <phoneticPr fontId="1" type="noConversion"/>
  </si>
  <si>
    <t>Vcc</t>
    <phoneticPr fontId="1" type="noConversion"/>
  </si>
  <si>
    <t>Supply Voltage for Controller</t>
    <phoneticPr fontId="1" type="noConversion"/>
  </si>
  <si>
    <t>V</t>
    <phoneticPr fontId="1" type="noConversion"/>
  </si>
  <si>
    <t>Saturation&amp; Wire Diameter</t>
    <phoneticPr fontId="1" type="noConversion"/>
  </si>
  <si>
    <t>na</t>
    <phoneticPr fontId="1" type="noConversion"/>
  </si>
  <si>
    <t>Voltage Reference</t>
    <phoneticPr fontId="1" type="noConversion"/>
  </si>
  <si>
    <t>Vref</t>
    <phoneticPr fontId="1" type="noConversion"/>
  </si>
  <si>
    <t>V</t>
    <phoneticPr fontId="1" type="noConversion"/>
  </si>
  <si>
    <t>kOhm</t>
    <phoneticPr fontId="1" type="noConversion"/>
  </si>
  <si>
    <t>kOhm</t>
    <phoneticPr fontId="1" type="noConversion"/>
  </si>
  <si>
    <t>Rup</t>
    <phoneticPr fontId="1" type="noConversion"/>
  </si>
  <si>
    <t>Rlw</t>
    <phoneticPr fontId="1" type="noConversion"/>
  </si>
  <si>
    <t>at 3.5V output</t>
  </si>
  <si>
    <t>&gt; iW1791 7.6 UVLO</t>
  </si>
  <si>
    <t>Vo/Io</t>
    <phoneticPr fontId="1" type="noConversion"/>
  </si>
  <si>
    <t>Ntr</t>
    <phoneticPr fontId="1" type="noConversion"/>
  </si>
  <si>
    <t xml:space="preserve">Kcc@ max Iset </t>
    <phoneticPr fontId="1" type="noConversion"/>
  </si>
  <si>
    <t>10.5V2.25A</t>
    <phoneticPr fontId="1" type="noConversion"/>
  </si>
  <si>
    <t>10.5V3A</t>
    <phoneticPr fontId="1" type="noConversion"/>
  </si>
  <si>
    <t>10.5V4A</t>
    <phoneticPr fontId="1" type="noConversion"/>
  </si>
  <si>
    <t>10.5V5A</t>
    <phoneticPr fontId="1" type="noConversion"/>
  </si>
  <si>
    <t>Vds@SR mos@264Vac</t>
    <phoneticPr fontId="1" type="noConversion"/>
  </si>
  <si>
    <t>SR mos</t>
    <phoneticPr fontId="1" type="noConversion"/>
  </si>
  <si>
    <t>761mV</t>
    <phoneticPr fontId="1" type="noConversion"/>
  </si>
  <si>
    <t>Vipk vs iW1797 @Imax</t>
    <phoneticPr fontId="1" type="noConversion"/>
  </si>
  <si>
    <t>Vipk @5V2A</t>
    <phoneticPr fontId="1" type="noConversion"/>
  </si>
  <si>
    <t>Kcc@ 5V2A</t>
    <phoneticPr fontId="1" type="noConversion"/>
  </si>
  <si>
    <t>551mV</t>
    <phoneticPr fontId="1" type="noConversion"/>
  </si>
  <si>
    <t>412mV</t>
    <phoneticPr fontId="1" type="noConversion"/>
  </si>
  <si>
    <t>335mV</t>
    <phoneticPr fontId="1" type="noConversion"/>
  </si>
  <si>
    <t>765mV</t>
    <phoneticPr fontId="1" type="noConversion"/>
  </si>
  <si>
    <t>267mV</t>
    <phoneticPr fontId="1" type="noConversion"/>
  </si>
  <si>
    <t>799mV</t>
    <phoneticPr fontId="1" type="noConversion"/>
  </si>
  <si>
    <t>iW1797 Vipk limit:800mV</t>
    <phoneticPr fontId="1" type="noConversion"/>
  </si>
  <si>
    <t>Winding current density</t>
  </si>
  <si>
    <t>Kd</t>
    <phoneticPr fontId="3" type="noConversion"/>
  </si>
  <si>
    <t>A/mm²</t>
    <phoneticPr fontId="3" type="noConversion"/>
  </si>
  <si>
    <t>Primary Wind diameter</t>
    <phoneticPr fontId="3" type="noConversion"/>
  </si>
  <si>
    <t>D_Np</t>
    <phoneticPr fontId="3" type="noConversion"/>
  </si>
  <si>
    <t>mm</t>
    <phoneticPr fontId="3" type="noConversion"/>
  </si>
  <si>
    <t>Secondary Wind diameter</t>
    <phoneticPr fontId="3" type="noConversion"/>
  </si>
  <si>
    <t>D_Ns</t>
    <phoneticPr fontId="3" type="noConversion"/>
  </si>
  <si>
    <t>Iocp</t>
  </si>
  <si>
    <t>CC limit current</t>
  </si>
  <si>
    <t xml:space="preserve">at Minimum Vin_DC </t>
  </si>
  <si>
    <t>Secondary-side Switch Stress</t>
  </si>
  <si>
    <t>Secondary-side rectification</t>
  </si>
  <si>
    <t>SR</t>
  </si>
  <si>
    <t>&lt;3300</t>
  </si>
  <si>
    <t>OCP setting by Rcs</t>
  </si>
  <si>
    <t>suggests 1.2*Io</t>
  </si>
  <si>
    <t>A</t>
  </si>
  <si>
    <t/>
  </si>
  <si>
    <t xml:space="preserve">RMS of Primary Current </t>
  </si>
  <si>
    <t>Magnetic Flux Density @ rating load</t>
  </si>
  <si>
    <t>Maximum Peak Current@ rating load</t>
  </si>
  <si>
    <t>&lt;Vipk_up</t>
  </si>
  <si>
    <t xml:space="preserve">Vo Sensing Divide Upper Resistor </t>
  </si>
  <si>
    <t xml:space="preserve">Vo Sensing Divide Lower Resistor </t>
  </si>
  <si>
    <t xml:space="preserve"> </t>
  </si>
  <si>
    <t>Application</t>
  </si>
  <si>
    <t>DCM</t>
  </si>
  <si>
    <t>P/N</t>
  </si>
  <si>
    <t xml:space="preserve">Wattage </t>
  </si>
  <si>
    <t>Controller</t>
  </si>
  <si>
    <t>Package</t>
  </si>
  <si>
    <t>RRW21115-153</t>
  </si>
  <si>
    <t>25W</t>
  </si>
  <si>
    <t>iW1702</t>
  </si>
  <si>
    <t>QFN8x8</t>
  </si>
  <si>
    <t>RRW21112-153</t>
  </si>
  <si>
    <t>45W</t>
  </si>
  <si>
    <t>RRW21111-153</t>
  </si>
  <si>
    <t>65W</t>
  </si>
  <si>
    <t>CCM/DCM</t>
  </si>
  <si>
    <t>aux power</t>
  </si>
  <si>
    <t>PSR</t>
  </si>
  <si>
    <t>PSR/SSR</t>
  </si>
  <si>
    <t>max fsw(kHz)</t>
  </si>
  <si>
    <t>Int. GaN</t>
  </si>
  <si>
    <t>480mΩ/700V</t>
  </si>
  <si>
    <t>240mΩ/700V</t>
  </si>
  <si>
    <t>150mΩ/700V</t>
  </si>
  <si>
    <t>step 1</t>
  </si>
  <si>
    <t>key in the input information</t>
  </si>
  <si>
    <t>step 2</t>
  </si>
  <si>
    <t xml:space="preserve">choose the output type and key in the output VI profile </t>
  </si>
  <si>
    <t>Step5</t>
  </si>
  <si>
    <t>key in the transformer parameters accordign to the device voltage stress and current stress consideration.</t>
  </si>
  <si>
    <t>Step3</t>
  </si>
  <si>
    <t>Step6</t>
  </si>
  <si>
    <t>Step4</t>
  </si>
  <si>
    <t>Key in the Rsense and set output OCP point</t>
  </si>
  <si>
    <t>Key in the Ae of core, check the Bmax</t>
  </si>
  <si>
    <t>Input Fsw for deciding Lp</t>
  </si>
  <si>
    <t>Key in the current density for wire diameters</t>
  </si>
  <si>
    <t>Step7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</si>
</sst>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_ "/>
    <numFmt numFmtId="165" formatCode="0.00_ "/>
    <numFmt numFmtId="166" formatCode="0.000_ "/>
    <numFmt numFmtId="167" formatCode="0.0000_ "/>
    <numFmt numFmtId="168" formatCode="0_ "/>
    <numFmt numFmtId="169" formatCode="0.00000"/>
  </numFmts>
  <fonts count="1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Arial Unicode MS"/>
      <family val="2"/>
      <charset val="134"/>
    </font>
    <font>
      <b/>
      <i/>
      <sz val="11"/>
      <color theme="1"/>
      <name val="Arial Unicode MS"/>
      <family val="2"/>
      <charset val="134"/>
    </font>
    <font>
      <u/>
      <sz val="11"/>
      <color theme="10"/>
      <name val="Calibri"/>
      <family val="2"/>
      <scheme val="minor"/>
    </font>
    <font>
      <sz val="1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ptos Narrow"/>
      <family val="2"/>
    </font>
    <font>
      <sz val="10"/>
      <color rgb="FF3C3C3B"/>
      <name val="Arial"/>
      <family val="2"/>
    </font>
    <font>
      <sz val="10"/>
      <color rgb="FF000000"/>
      <name val="Aptos Narrow"/>
      <family val="2"/>
    </font>
    <font>
      <sz val="10"/>
      <color rgb="FF3C3C3B"/>
      <name val="Aptos Narrow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4471A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0" borderId="0" xfId="0" applyFont="1"/>
    <xf numFmtId="0" fontId="2" fillId="2" borderId="0" xfId="0" applyFont="1" applyFill="1"/>
    <xf numFmtId="164" fontId="2" fillId="3" borderId="0" xfId="0" applyNumberFormat="1" applyFont="1" applyFill="1"/>
    <xf numFmtId="0" fontId="2" fillId="3" borderId="0" xfId="0" applyFont="1" applyFill="1"/>
    <xf numFmtId="165" fontId="2" fillId="3" borderId="0" xfId="0" applyNumberFormat="1" applyFont="1" applyFill="1"/>
    <xf numFmtId="166" fontId="2" fillId="3" borderId="0" xfId="0" applyNumberFormat="1" applyFont="1" applyFill="1"/>
    <xf numFmtId="0" fontId="0" fillId="0" borderId="1" xfId="0" applyBorder="1"/>
    <xf numFmtId="0" fontId="5" fillId="0" borderId="1" xfId="0" applyFont="1" applyBorder="1"/>
    <xf numFmtId="0" fontId="5" fillId="0" borderId="1" xfId="1" applyFont="1" applyBorder="1"/>
    <xf numFmtId="0" fontId="6" fillId="0" borderId="0" xfId="0" applyFont="1"/>
    <xf numFmtId="0" fontId="2" fillId="0" borderId="0" xfId="0" quotePrefix="1" applyFont="1"/>
    <xf numFmtId="164" fontId="2" fillId="2" borderId="0" xfId="0" applyNumberFormat="1" applyFont="1" applyFill="1" applyAlignment="1">
      <alignment horizontal="right"/>
    </xf>
    <xf numFmtId="2" fontId="2" fillId="3" borderId="0" xfId="0" applyNumberFormat="1" applyFont="1" applyFill="1"/>
    <xf numFmtId="0" fontId="2" fillId="2" borderId="0" xfId="0" applyFont="1" applyFill="1" applyAlignment="1">
      <alignment horizontal="right"/>
    </xf>
    <xf numFmtId="168" fontId="2" fillId="3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7" fontId="2" fillId="3" borderId="0" xfId="0" applyNumberFormat="1" applyFont="1" applyFill="1"/>
    <xf numFmtId="0" fontId="2" fillId="3" borderId="0" xfId="0" applyFont="1" applyFill="1" applyAlignment="1">
      <alignment horizontal="right"/>
    </xf>
    <xf numFmtId="0" fontId="2" fillId="0" borderId="0" xfId="0" applyFont="1" applyAlignment="1">
      <alignment horizontal="center" wrapText="1"/>
    </xf>
    <xf numFmtId="169" fontId="2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0" fontId="8" fillId="5" borderId="2" xfId="0" applyFont="1" applyFill="1" applyBorder="1" applyAlignment="1">
      <alignment horizont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wrapText="1" readingOrder="1"/>
    </xf>
    <xf numFmtId="0" fontId="11" fillId="0" borderId="2" xfId="0" applyFont="1" applyBorder="1" applyAlignment="1">
      <alignment horizontal="center" wrapText="1" readingOrder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3">
    <cellStyle name="Hyperlink" xfId="1" builtinId="8"/>
    <cellStyle name="Normal" xfId="0" builtinId="0"/>
    <cellStyle name="Normal 2" xfId="2" xr:uid="{DEAF1B0D-BC8B-4560-A14B-894D83886E83}"/>
  </cellStyles>
  <dxfs count="0"/>
  <tableStyles count="0" defaultTableStyle="TableStyleMedium2" defaultPivotStyle="PivotStyleMedium9"/>
  <colors>
    <mruColors>
      <color rgb="FF00CC00"/>
      <color rgb="FFB9B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7470</xdr:colOff>
      <xdr:row>2</xdr:row>
      <xdr:rowOff>14940</xdr:rowOff>
    </xdr:from>
    <xdr:to>
      <xdr:col>7</xdr:col>
      <xdr:colOff>280753</xdr:colOff>
      <xdr:row>6</xdr:row>
      <xdr:rowOff>65780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F93FB2-ABC1-CA83-73E5-A9A759A6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" y="433293"/>
          <a:ext cx="4561401" cy="797899"/>
        </a:xfrm>
        <a:prstGeom prst="rect">
          <a:avLst/>
        </a:prstGeom>
      </xdr:spPr>
    </xdr:pic>
    <xdr:clientData/>
  </xdr:twoCellAnchor>
  <xdr:twoCellAnchor editAs="oneCell">
    <xdr:from>
      <xdr:col>0</xdr:col>
      <xdr:colOff>29882</xdr:colOff>
      <xdr:row>9</xdr:row>
      <xdr:rowOff>7472</xdr:rowOff>
    </xdr:from>
    <xdr:to>
      <xdr:col>6</xdr:col>
      <xdr:colOff>532868</xdr:colOff>
      <xdr:row>10</xdr:row>
      <xdr:rowOff>131873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66E1AD-9EA8-4B35-9190-F647C13FE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882" y="1778001"/>
          <a:ext cx="4178515" cy="311166"/>
        </a:xfrm>
        <a:prstGeom prst="rect">
          <a:avLst/>
        </a:prstGeom>
      </xdr:spPr>
    </xdr:pic>
    <xdr:clientData/>
  </xdr:twoCellAnchor>
  <xdr:twoCellAnchor editAs="oneCell">
    <xdr:from>
      <xdr:col>0</xdr:col>
      <xdr:colOff>37353</xdr:colOff>
      <xdr:row>11</xdr:row>
      <xdr:rowOff>0</xdr:rowOff>
    </xdr:from>
    <xdr:to>
      <xdr:col>6</xdr:col>
      <xdr:colOff>502237</xdr:colOff>
      <xdr:row>11</xdr:row>
      <xdr:rowOff>139707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2867D9-FAAC-012D-E9CC-FBC806071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353" y="2144059"/>
          <a:ext cx="4140413" cy="139707"/>
        </a:xfrm>
        <a:prstGeom prst="rect">
          <a:avLst/>
        </a:prstGeom>
      </xdr:spPr>
    </xdr:pic>
    <xdr:clientData/>
  </xdr:twoCellAnchor>
  <xdr:twoCellAnchor editAs="oneCell">
    <xdr:from>
      <xdr:col>0</xdr:col>
      <xdr:colOff>29882</xdr:colOff>
      <xdr:row>15</xdr:row>
      <xdr:rowOff>7471</xdr:rowOff>
    </xdr:from>
    <xdr:to>
      <xdr:col>7</xdr:col>
      <xdr:colOff>85387</xdr:colOff>
      <xdr:row>20</xdr:row>
      <xdr:rowOff>184954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AA002ED-698C-F7D9-3A4D-F32BCE435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882" y="2943412"/>
          <a:ext cx="4343623" cy="1111307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24</xdr:row>
      <xdr:rowOff>0</xdr:rowOff>
    </xdr:from>
    <xdr:to>
      <xdr:col>9</xdr:col>
      <xdr:colOff>173609</xdr:colOff>
      <xdr:row>28</xdr:row>
      <xdr:rowOff>186439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FEB6DED-3308-D2FB-6C88-7D3DE38B6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412" y="4661647"/>
          <a:ext cx="5664491" cy="933498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32</xdr:row>
      <xdr:rowOff>0</xdr:rowOff>
    </xdr:from>
    <xdr:to>
      <xdr:col>9</xdr:col>
      <xdr:colOff>78354</xdr:colOff>
      <xdr:row>37</xdr:row>
      <xdr:rowOff>152082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0136A99-6405-F7B8-3293-89E14D73D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412" y="6200588"/>
          <a:ext cx="5569236" cy="1085906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41</xdr:row>
      <xdr:rowOff>22411</xdr:rowOff>
    </xdr:from>
    <xdr:to>
      <xdr:col>9</xdr:col>
      <xdr:colOff>516527</xdr:colOff>
      <xdr:row>44</xdr:row>
      <xdr:rowOff>39997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E1C9459-9CBB-4BF6-90E0-B951A2308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412" y="7948705"/>
          <a:ext cx="6007409" cy="57788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22412</xdr:colOff>
      <xdr:row>47</xdr:row>
      <xdr:rowOff>29882</xdr:rowOff>
    </xdr:from>
    <xdr:to>
      <xdr:col>7</xdr:col>
      <xdr:colOff>230325</xdr:colOff>
      <xdr:row>50</xdr:row>
      <xdr:rowOff>9366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E995DBE-6CB5-5E2D-E23A-9122BA7D9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412" y="9121588"/>
          <a:ext cx="4496031" cy="539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55"/>
  <sheetViews>
    <sheetView zoomScale="85" zoomScaleNormal="85" workbookViewId="0">
      <selection activeCell="D59" sqref="D59"/>
    </sheetView>
  </sheetViews>
  <sheetFormatPr defaultColWidth="8.90625" defaultRowHeight="14"/>
  <cols>
    <col min="1" max="3" width="8.90625" style="1"/>
    <col min="4" max="4" width="22.6328125" style="1" customWidth="1"/>
    <col min="5" max="5" width="10.7265625" style="1" customWidth="1"/>
    <col min="6" max="6" width="15.453125" style="1" customWidth="1"/>
    <col min="7" max="7" width="8.90625" style="1"/>
    <col min="8" max="8" width="35.7265625" style="1" customWidth="1"/>
    <col min="9" max="9" width="13.7265625" style="1" customWidth="1"/>
    <col min="10" max="10" width="8.90625" style="1"/>
    <col min="11" max="12" width="10.54296875" style="1" bestFit="1" customWidth="1"/>
    <col min="13" max="13" width="9.54296875" style="1" bestFit="1" customWidth="1"/>
    <col min="14" max="16" width="9" style="1" bestFit="1" customWidth="1"/>
    <col min="17" max="17" width="9.6328125" style="1" customWidth="1"/>
    <col min="18" max="20" width="9" style="1" bestFit="1" customWidth="1"/>
    <col min="21" max="21" width="9.54296875" style="1" bestFit="1" customWidth="1"/>
    <col min="22" max="22" width="10.90625" style="1" customWidth="1"/>
    <col min="23" max="23" width="10.54296875" style="1" customWidth="1"/>
    <col min="24" max="24" width="11.08984375" style="1" customWidth="1"/>
    <col min="25" max="25" width="11.453125" style="1" customWidth="1"/>
    <col min="26" max="26" width="13.1796875" style="1" customWidth="1"/>
    <col min="27" max="27" width="11.90625" style="1" customWidth="1"/>
    <col min="28" max="16384" width="8.90625" style="1"/>
  </cols>
  <sheetData>
    <row r="2" spans="2:7">
      <c r="B2" s="2" t="s">
        <v>74</v>
      </c>
      <c r="D2" s="4" t="s">
        <v>75</v>
      </c>
    </row>
    <row r="4" spans="2:7">
      <c r="B4" s="33" t="s">
        <v>49</v>
      </c>
      <c r="C4" s="33"/>
      <c r="D4" s="33"/>
      <c r="E4" s="33"/>
      <c r="F4" s="33"/>
      <c r="G4" s="33"/>
    </row>
    <row r="5" spans="2:7">
      <c r="B5" s="31" t="s">
        <v>1</v>
      </c>
      <c r="C5" s="31"/>
      <c r="D5" s="31"/>
      <c r="E5" s="1" t="s">
        <v>0</v>
      </c>
      <c r="F5" s="2">
        <v>90</v>
      </c>
      <c r="G5" s="1" t="s">
        <v>7</v>
      </c>
    </row>
    <row r="6" spans="2:7">
      <c r="B6" s="31" t="s">
        <v>2</v>
      </c>
      <c r="C6" s="31"/>
      <c r="D6" s="31"/>
      <c r="E6" s="1" t="s">
        <v>3</v>
      </c>
      <c r="F6" s="2">
        <v>264</v>
      </c>
      <c r="G6" s="1" t="s">
        <v>7</v>
      </c>
    </row>
    <row r="7" spans="2:7">
      <c r="B7" s="31" t="s">
        <v>21</v>
      </c>
      <c r="C7" s="31"/>
      <c r="D7" s="31"/>
      <c r="E7" s="1" t="s">
        <v>19</v>
      </c>
      <c r="F7" s="2">
        <v>60</v>
      </c>
      <c r="G7" s="1" t="s">
        <v>20</v>
      </c>
    </row>
    <row r="8" spans="2:7">
      <c r="B8" s="31" t="s">
        <v>17</v>
      </c>
      <c r="C8" s="31"/>
      <c r="D8" s="31"/>
      <c r="E8" s="1" t="s">
        <v>22</v>
      </c>
      <c r="F8" s="2">
        <v>90</v>
      </c>
      <c r="G8" s="1" t="s">
        <v>18</v>
      </c>
    </row>
    <row r="9" spans="2:7">
      <c r="B9" s="31" t="s">
        <v>23</v>
      </c>
      <c r="C9" s="31"/>
      <c r="D9" s="31"/>
      <c r="E9" s="1" t="s">
        <v>24</v>
      </c>
      <c r="F9" s="3">
        <f>F6*SQRT(2)</f>
        <v>373.3523804664971</v>
      </c>
      <c r="G9" s="1" t="s">
        <v>18</v>
      </c>
    </row>
    <row r="10" spans="2:7">
      <c r="B10" s="31" t="s">
        <v>4</v>
      </c>
      <c r="C10" s="31"/>
      <c r="D10" s="31"/>
      <c r="E10" s="1" t="s">
        <v>5</v>
      </c>
      <c r="F10" s="2">
        <v>24</v>
      </c>
      <c r="G10" s="1" t="s">
        <v>9</v>
      </c>
    </row>
    <row r="11" spans="2:7">
      <c r="B11" s="31" t="s">
        <v>37</v>
      </c>
      <c r="C11" s="31"/>
      <c r="D11" s="31"/>
      <c r="E11" s="1" t="s">
        <v>6</v>
      </c>
      <c r="F11" s="2">
        <v>1</v>
      </c>
      <c r="G11" s="1" t="s">
        <v>8</v>
      </c>
    </row>
    <row r="12" spans="2:7">
      <c r="B12" s="31" t="s">
        <v>38</v>
      </c>
      <c r="C12" s="31"/>
      <c r="D12" s="31"/>
      <c r="E12" s="1" t="s">
        <v>10</v>
      </c>
      <c r="F12" s="3">
        <f>F10*F11</f>
        <v>24</v>
      </c>
      <c r="G12" s="1" t="s">
        <v>11</v>
      </c>
    </row>
    <row r="13" spans="2:7">
      <c r="B13" s="31" t="s">
        <v>12</v>
      </c>
      <c r="C13" s="31"/>
      <c r="D13" s="31"/>
      <c r="E13" s="1" t="s">
        <v>13</v>
      </c>
      <c r="F13" s="2">
        <v>92</v>
      </c>
      <c r="G13" s="1" t="s">
        <v>14</v>
      </c>
    </row>
    <row r="14" spans="2:7">
      <c r="B14" s="31" t="s">
        <v>15</v>
      </c>
      <c r="C14" s="31"/>
      <c r="D14" s="31"/>
      <c r="E14" s="1" t="s">
        <v>16</v>
      </c>
      <c r="F14" s="3">
        <f>F12/F13*100</f>
        <v>26.086956521739129</v>
      </c>
      <c r="G14" s="1" t="s">
        <v>11</v>
      </c>
    </row>
    <row r="16" spans="2:7">
      <c r="B16" s="33" t="s">
        <v>27</v>
      </c>
      <c r="C16" s="33"/>
      <c r="D16" s="33"/>
      <c r="E16" s="33"/>
      <c r="F16" s="33"/>
      <c r="G16" s="33"/>
    </row>
    <row r="17" spans="2:27">
      <c r="B17" s="31" t="s">
        <v>29</v>
      </c>
      <c r="C17" s="31"/>
      <c r="D17" s="31"/>
      <c r="E17" s="1" t="s">
        <v>25</v>
      </c>
      <c r="F17" s="14">
        <v>42</v>
      </c>
      <c r="G17" s="1" t="s">
        <v>32</v>
      </c>
    </row>
    <row r="18" spans="2:27">
      <c r="B18" s="31" t="s">
        <v>30</v>
      </c>
      <c r="C18" s="31"/>
      <c r="D18" s="31"/>
      <c r="E18" s="1" t="s">
        <v>26</v>
      </c>
      <c r="F18" s="14">
        <v>8</v>
      </c>
      <c r="G18" s="1" t="s">
        <v>31</v>
      </c>
    </row>
    <row r="19" spans="2:27">
      <c r="B19" s="31" t="s">
        <v>84</v>
      </c>
      <c r="C19" s="31"/>
      <c r="D19" s="31"/>
      <c r="E19" s="1" t="s">
        <v>90</v>
      </c>
      <c r="F19" s="18">
        <v>3</v>
      </c>
      <c r="G19" s="1" t="s">
        <v>85</v>
      </c>
    </row>
    <row r="20" spans="2:27">
      <c r="B20" s="31" t="s">
        <v>27</v>
      </c>
      <c r="C20" s="31"/>
      <c r="D20" s="31"/>
      <c r="E20" s="1" t="s">
        <v>28</v>
      </c>
      <c r="F20" s="18">
        <f>F17/F18</f>
        <v>5.25</v>
      </c>
    </row>
    <row r="21" spans="2:27">
      <c r="B21" s="31" t="s">
        <v>33</v>
      </c>
      <c r="C21" s="31"/>
      <c r="D21" s="31"/>
      <c r="E21" s="1" t="s">
        <v>35</v>
      </c>
      <c r="F21" s="18">
        <f>(F9+F20*F10+100)</f>
        <v>599.35238046649715</v>
      </c>
      <c r="G21" s="1" t="s">
        <v>18</v>
      </c>
    </row>
    <row r="22" spans="2:27">
      <c r="B22" s="34" t="s">
        <v>131</v>
      </c>
      <c r="C22" s="34"/>
      <c r="D22" s="34"/>
      <c r="E22" s="1" t="s">
        <v>34</v>
      </c>
      <c r="F22" s="18">
        <f>(F10+F9/F20)+5</f>
        <v>100.11473913647563</v>
      </c>
      <c r="G22" s="1" t="s">
        <v>18</v>
      </c>
    </row>
    <row r="23" spans="2:27" hidden="1">
      <c r="B23" s="34" t="s">
        <v>87</v>
      </c>
      <c r="C23" s="34"/>
      <c r="D23" s="34"/>
      <c r="E23" s="1" t="s">
        <v>86</v>
      </c>
      <c r="F23" s="18">
        <f>3.5/F18*F19-0.7</f>
        <v>0.61250000000000004</v>
      </c>
      <c r="G23" s="1" t="s">
        <v>88</v>
      </c>
      <c r="H23" s="1" t="s">
        <v>98</v>
      </c>
      <c r="J23" s="1" t="s">
        <v>99</v>
      </c>
    </row>
    <row r="24" spans="2:27">
      <c r="B24" s="34" t="s">
        <v>132</v>
      </c>
      <c r="C24" s="34"/>
      <c r="D24" s="34"/>
      <c r="F24" s="12" t="s">
        <v>133</v>
      </c>
    </row>
    <row r="25" spans="2:27">
      <c r="B25" s="31" t="s">
        <v>91</v>
      </c>
      <c r="C25" s="31"/>
      <c r="D25" s="31"/>
      <c r="E25" s="1" t="s">
        <v>92</v>
      </c>
      <c r="F25" s="20">
        <v>1.536</v>
      </c>
      <c r="G25" s="1" t="s">
        <v>93</v>
      </c>
    </row>
    <row r="26" spans="2:27">
      <c r="B26" s="31" t="s">
        <v>143</v>
      </c>
      <c r="C26" s="31"/>
      <c r="D26" s="31"/>
      <c r="E26" s="1" t="s">
        <v>96</v>
      </c>
      <c r="F26" s="14">
        <v>35.700000000000003</v>
      </c>
      <c r="G26" s="1" t="s">
        <v>94</v>
      </c>
    </row>
    <row r="27" spans="2:27">
      <c r="B27" s="31" t="s">
        <v>144</v>
      </c>
      <c r="C27" s="31"/>
      <c r="D27" s="31"/>
      <c r="E27" s="1" t="s">
        <v>97</v>
      </c>
      <c r="F27" s="17">
        <f>IF(F24="schottky diode",F26/((F10+0.4)*F19/F25/F18-1),F26/(F10*F19/F25/F18-1))</f>
        <v>7.3466237942122197</v>
      </c>
      <c r="G27" s="1" t="s">
        <v>95</v>
      </c>
      <c r="J27" s="22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1"/>
    </row>
    <row r="28" spans="2:27">
      <c r="J28" s="22"/>
      <c r="K28" s="24"/>
      <c r="L28" s="24"/>
      <c r="M28" s="24"/>
      <c r="N28" s="24"/>
      <c r="O28" s="24"/>
      <c r="P28" s="24"/>
      <c r="Q28" s="24"/>
      <c r="R28" s="24"/>
      <c r="S28" s="24"/>
      <c r="T28" s="22"/>
      <c r="U28" s="24"/>
      <c r="V28" s="22"/>
      <c r="W28" s="24"/>
      <c r="X28" s="22"/>
      <c r="Y28" s="24"/>
      <c r="Z28" s="22"/>
      <c r="AA28" s="22"/>
    </row>
    <row r="29" spans="2:27">
      <c r="B29" s="33" t="s">
        <v>59</v>
      </c>
      <c r="C29" s="33"/>
      <c r="D29" s="33"/>
      <c r="E29" s="33"/>
      <c r="F29" s="33"/>
      <c r="G29" s="33"/>
      <c r="J29" s="22"/>
      <c r="K29" s="24"/>
      <c r="L29" s="24"/>
      <c r="M29" s="24"/>
      <c r="N29" s="24"/>
      <c r="O29" s="24"/>
      <c r="P29" s="24"/>
      <c r="Q29" s="24"/>
      <c r="R29" s="24"/>
      <c r="S29" s="24"/>
      <c r="T29" s="22"/>
      <c r="U29" s="24"/>
      <c r="V29" s="22"/>
      <c r="W29" s="24"/>
      <c r="X29" s="22"/>
      <c r="Y29" s="24"/>
      <c r="Z29" s="22"/>
      <c r="AA29" s="22"/>
    </row>
    <row r="30" spans="2:27" hidden="1">
      <c r="B30" s="31" t="s">
        <v>44</v>
      </c>
      <c r="C30" s="31"/>
      <c r="D30" s="31"/>
      <c r="E30" s="1" t="s">
        <v>43</v>
      </c>
      <c r="F30" s="1">
        <f>0.422</f>
        <v>0.42199999999999999</v>
      </c>
    </row>
    <row r="31" spans="2:27">
      <c r="B31" s="31" t="s">
        <v>62</v>
      </c>
      <c r="C31" s="31"/>
      <c r="D31" s="31"/>
      <c r="E31" s="1" t="s">
        <v>80</v>
      </c>
      <c r="F31" s="4">
        <v>1</v>
      </c>
      <c r="G31" s="1" t="s">
        <v>18</v>
      </c>
      <c r="K31" s="24"/>
      <c r="L31" s="24"/>
      <c r="M31" s="24"/>
      <c r="N31" s="24"/>
      <c r="O31" s="24"/>
      <c r="P31" s="24"/>
      <c r="Q31" s="24"/>
      <c r="R31" s="24"/>
      <c r="S31" s="24"/>
      <c r="T31" s="22"/>
      <c r="U31" s="24"/>
      <c r="V31" s="22"/>
      <c r="W31" s="24"/>
      <c r="X31" s="22"/>
      <c r="Y31" s="24"/>
      <c r="Z31" s="22"/>
      <c r="AA31" s="22"/>
    </row>
    <row r="32" spans="2:27" hidden="1">
      <c r="B32" s="31" t="s">
        <v>63</v>
      </c>
      <c r="C32" s="31"/>
      <c r="D32" s="31"/>
      <c r="E32" s="1" t="s">
        <v>64</v>
      </c>
      <c r="F32" s="1">
        <v>0.23</v>
      </c>
      <c r="G32" s="1" t="s">
        <v>18</v>
      </c>
    </row>
    <row r="33" spans="2:9">
      <c r="B33" s="32" t="s">
        <v>145</v>
      </c>
      <c r="C33" s="32"/>
      <c r="D33" s="32"/>
      <c r="E33" s="1" t="s">
        <v>40</v>
      </c>
      <c r="F33" s="2">
        <v>2</v>
      </c>
      <c r="G33" s="1" t="s">
        <v>39</v>
      </c>
      <c r="H33" s="31" t="s">
        <v>135</v>
      </c>
    </row>
    <row r="34" spans="2:9">
      <c r="B34" s="32"/>
      <c r="C34" s="32"/>
      <c r="D34" s="32"/>
      <c r="E34" s="1" t="s">
        <v>41</v>
      </c>
      <c r="F34" s="2">
        <v>1.5</v>
      </c>
      <c r="G34" s="1" t="s">
        <v>39</v>
      </c>
      <c r="H34" s="31"/>
    </row>
    <row r="35" spans="2:9">
      <c r="B35" s="32"/>
      <c r="C35" s="32"/>
      <c r="D35" s="32"/>
      <c r="E35" s="1" t="s">
        <v>42</v>
      </c>
      <c r="F35" s="6">
        <f>F33*F34/(F33+F34)</f>
        <v>0.8571428571428571</v>
      </c>
      <c r="G35" s="1" t="s">
        <v>39</v>
      </c>
    </row>
    <row r="36" spans="2:9" hidden="1">
      <c r="B36" s="31" t="s">
        <v>58</v>
      </c>
      <c r="C36" s="31"/>
      <c r="D36" s="31"/>
      <c r="E36" s="1" t="s">
        <v>128</v>
      </c>
      <c r="F36" s="5">
        <f>0.5*F20*F30/F35*F31*0.9</f>
        <v>1.1631375000000002</v>
      </c>
      <c r="G36" s="1" t="s">
        <v>45</v>
      </c>
    </row>
    <row r="37" spans="2:9">
      <c r="B37" s="31" t="s">
        <v>129</v>
      </c>
      <c r="C37" s="31"/>
      <c r="D37" s="31"/>
      <c r="E37" s="1" t="s">
        <v>128</v>
      </c>
      <c r="F37" s="13">
        <f>0.5*F20*F30/F35*F31*0.95</f>
        <v>1.2277562499999999</v>
      </c>
      <c r="G37" s="1" t="s">
        <v>137</v>
      </c>
      <c r="H37" s="1" t="s">
        <v>136</v>
      </c>
    </row>
    <row r="38" spans="2:9">
      <c r="B38" s="33" t="s">
        <v>61</v>
      </c>
      <c r="C38" s="33"/>
      <c r="D38" s="33"/>
      <c r="E38" s="33"/>
      <c r="F38" s="33"/>
      <c r="G38" s="33"/>
    </row>
    <row r="39" spans="2:9">
      <c r="B39" s="31" t="s">
        <v>46</v>
      </c>
      <c r="C39" s="31"/>
      <c r="D39" s="31"/>
      <c r="E39" s="1" t="s">
        <v>48</v>
      </c>
      <c r="F39" s="2">
        <v>65</v>
      </c>
      <c r="G39" s="1" t="s">
        <v>47</v>
      </c>
      <c r="H39" s="1" t="s">
        <v>130</v>
      </c>
    </row>
    <row r="40" spans="2:9">
      <c r="B40" s="31" t="s">
        <v>52</v>
      </c>
      <c r="C40" s="31"/>
      <c r="D40" s="31"/>
      <c r="E40" s="1" t="s">
        <v>53</v>
      </c>
      <c r="F40" s="4">
        <v>600</v>
      </c>
      <c r="G40" s="1" t="s">
        <v>47</v>
      </c>
    </row>
    <row r="41" spans="2:9">
      <c r="B41" s="31" t="s">
        <v>50</v>
      </c>
      <c r="C41" s="31"/>
      <c r="D41" s="31"/>
      <c r="E41" s="1" t="s">
        <v>51</v>
      </c>
      <c r="F41" s="17">
        <f>(1/F39-1/F40/2)/(1+F8/F20/F10)*1000</f>
        <v>8.4882478632478637</v>
      </c>
      <c r="G41" s="1" t="s">
        <v>54</v>
      </c>
    </row>
    <row r="42" spans="2:9">
      <c r="B42" s="31" t="s">
        <v>55</v>
      </c>
      <c r="C42" s="31"/>
      <c r="D42" s="31"/>
      <c r="E42" s="1" t="s">
        <v>56</v>
      </c>
      <c r="F42" s="19">
        <f>F41/(1/F39*1000)</f>
        <v>0.55173611111111109</v>
      </c>
    </row>
    <row r="43" spans="2:9">
      <c r="B43" s="31" t="s">
        <v>141</v>
      </c>
      <c r="C43" s="31"/>
      <c r="D43" s="31"/>
      <c r="E43" s="1" t="s">
        <v>57</v>
      </c>
      <c r="F43" s="3">
        <f>F20*F10*F30*F31/F8/F41/F39/F13*10^8*0.8</f>
        <v>931.13196705611961</v>
      </c>
      <c r="G43" s="1" t="s">
        <v>60</v>
      </c>
      <c r="H43" s="1" t="s">
        <v>142</v>
      </c>
      <c r="I43" s="11"/>
    </row>
    <row r="44" spans="2:9">
      <c r="B44" s="31" t="s">
        <v>61</v>
      </c>
      <c r="C44" s="31"/>
      <c r="D44" s="31"/>
      <c r="E44" s="1" t="s">
        <v>36</v>
      </c>
      <c r="F44" s="6">
        <f>F8*F41/F43*F35</f>
        <v>0.70323833299155425</v>
      </c>
      <c r="G44" s="1" t="s">
        <v>66</v>
      </c>
    </row>
    <row r="45" spans="2:9" hidden="1">
      <c r="B45" s="31" t="s">
        <v>65</v>
      </c>
      <c r="C45" s="31"/>
      <c r="D45" s="31"/>
      <c r="E45" s="1" t="s">
        <v>67</v>
      </c>
      <c r="F45" s="5">
        <f>F44*F32/F35/F9*10^3</f>
        <v>0.50542676541561149</v>
      </c>
      <c r="G45" s="1" t="s">
        <v>54</v>
      </c>
      <c r="H45" s="1" t="s">
        <v>70</v>
      </c>
    </row>
    <row r="46" spans="2:9" hidden="1">
      <c r="B46" s="31" t="s">
        <v>68</v>
      </c>
      <c r="C46" s="31"/>
      <c r="D46" s="31"/>
      <c r="E46" s="1" t="s">
        <v>69</v>
      </c>
      <c r="F46" s="5">
        <f>F45*F9/F20/F10</f>
        <v>1.4976371906301615</v>
      </c>
      <c r="G46" s="1" t="s">
        <v>54</v>
      </c>
      <c r="H46" s="1" t="s">
        <v>71</v>
      </c>
    </row>
    <row r="48" spans="2:9">
      <c r="B48" s="33" t="s">
        <v>89</v>
      </c>
      <c r="C48" s="33"/>
      <c r="D48" s="33"/>
      <c r="E48" s="33"/>
      <c r="F48" s="33"/>
      <c r="G48" s="33"/>
    </row>
    <row r="49" spans="2:9">
      <c r="B49" s="31" t="s">
        <v>72</v>
      </c>
      <c r="C49" s="31"/>
      <c r="D49" s="31"/>
      <c r="E49" s="1" t="s">
        <v>73</v>
      </c>
      <c r="F49" s="14">
        <v>64</v>
      </c>
      <c r="G49" s="1" t="s">
        <v>77</v>
      </c>
    </row>
    <row r="50" spans="2:9">
      <c r="B50" s="31" t="s">
        <v>140</v>
      </c>
      <c r="C50" s="31"/>
      <c r="D50" s="31"/>
      <c r="E50" s="1" t="s">
        <v>76</v>
      </c>
      <c r="F50" s="15">
        <f>F43*F44/F35/F49/F17*10000</f>
        <v>2842.0472756410263</v>
      </c>
      <c r="G50" s="1" t="s">
        <v>78</v>
      </c>
      <c r="H50" s="1" t="s">
        <v>134</v>
      </c>
      <c r="I50" s="11" t="s">
        <v>138</v>
      </c>
    </row>
    <row r="51" spans="2:9">
      <c r="B51" s="31" t="s">
        <v>139</v>
      </c>
      <c r="C51" s="31"/>
      <c r="D51" s="31"/>
      <c r="E51" s="1" t="s">
        <v>82</v>
      </c>
      <c r="F51" s="16">
        <f>SQRT(F42/3)*F43/1000/F35</f>
        <v>0.46586823986386633</v>
      </c>
      <c r="G51" s="1" t="s">
        <v>8</v>
      </c>
      <c r="H51" s="1" t="s">
        <v>83</v>
      </c>
    </row>
    <row r="52" spans="2:9">
      <c r="B52" s="31" t="s">
        <v>81</v>
      </c>
      <c r="C52" s="31"/>
      <c r="D52" s="31"/>
      <c r="E52" s="1" t="s">
        <v>79</v>
      </c>
      <c r="F52" s="17">
        <f>SQRT(F42*F8/F20/F10/3)*F43/1000/F35*F20</f>
        <v>2.0670852565851168</v>
      </c>
      <c r="G52" s="1" t="s">
        <v>8</v>
      </c>
      <c r="H52" s="1" t="s">
        <v>83</v>
      </c>
    </row>
    <row r="53" spans="2:9">
      <c r="B53" s="31" t="s">
        <v>120</v>
      </c>
      <c r="C53" s="31"/>
      <c r="D53" s="31"/>
      <c r="E53" s="1" t="s">
        <v>121</v>
      </c>
      <c r="F53" s="14">
        <v>10</v>
      </c>
      <c r="G53" s="1" t="s">
        <v>122</v>
      </c>
    </row>
    <row r="54" spans="2:9">
      <c r="B54" s="31" t="s">
        <v>123</v>
      </c>
      <c r="C54" s="31"/>
      <c r="D54" s="31"/>
      <c r="E54" s="1" t="s">
        <v>124</v>
      </c>
      <c r="F54" s="17">
        <f>(4*F51/F53/3.14)^0.5</f>
        <v>0.24361090409528696</v>
      </c>
      <c r="G54" s="1" t="s">
        <v>125</v>
      </c>
    </row>
    <row r="55" spans="2:9">
      <c r="B55" s="31" t="s">
        <v>126</v>
      </c>
      <c r="C55" s="31"/>
      <c r="D55" s="31"/>
      <c r="E55" s="1" t="s">
        <v>127</v>
      </c>
      <c r="F55" s="17">
        <f>(4*F52/F53/3.14)^0.5</f>
        <v>0.51315003909413071</v>
      </c>
      <c r="G55" s="1" t="s">
        <v>125</v>
      </c>
    </row>
  </sheetData>
  <mergeCells count="48">
    <mergeCell ref="B54:D54"/>
    <mergeCell ref="B55:D55"/>
    <mergeCell ref="B37:D37"/>
    <mergeCell ref="B4:G4"/>
    <mergeCell ref="B16:G16"/>
    <mergeCell ref="B29:G29"/>
    <mergeCell ref="B18:D18"/>
    <mergeCell ref="B20:D20"/>
    <mergeCell ref="B21:D21"/>
    <mergeCell ref="B22:D22"/>
    <mergeCell ref="B9:D9"/>
    <mergeCell ref="B14:D14"/>
    <mergeCell ref="B8:D8"/>
    <mergeCell ref="B7:D7"/>
    <mergeCell ref="B13:D13"/>
    <mergeCell ref="B17:D17"/>
    <mergeCell ref="B5:D5"/>
    <mergeCell ref="B19:D19"/>
    <mergeCell ref="B23:D23"/>
    <mergeCell ref="B6:D6"/>
    <mergeCell ref="B10:D10"/>
    <mergeCell ref="B11:D11"/>
    <mergeCell ref="B12:D12"/>
    <mergeCell ref="B49:D49"/>
    <mergeCell ref="B50:D50"/>
    <mergeCell ref="B48:G48"/>
    <mergeCell ref="B25:D25"/>
    <mergeCell ref="B24:D24"/>
    <mergeCell ref="B38:G38"/>
    <mergeCell ref="B32:D32"/>
    <mergeCell ref="B30:D30"/>
    <mergeCell ref="B31:D31"/>
    <mergeCell ref="B53:D53"/>
    <mergeCell ref="B26:D26"/>
    <mergeCell ref="B27:D27"/>
    <mergeCell ref="H33:H34"/>
    <mergeCell ref="B36:D36"/>
    <mergeCell ref="B39:D39"/>
    <mergeCell ref="B33:D35"/>
    <mergeCell ref="B52:D52"/>
    <mergeCell ref="B51:D51"/>
    <mergeCell ref="B41:D41"/>
    <mergeCell ref="B40:D40"/>
    <mergeCell ref="B42:D42"/>
    <mergeCell ref="B43:D43"/>
    <mergeCell ref="B44:D44"/>
    <mergeCell ref="B45:D45"/>
    <mergeCell ref="B46:D46"/>
  </mergeCells>
  <phoneticPr fontId="1" type="noConversion"/>
  <dataValidations count="1">
    <dataValidation type="list" allowBlank="1" showInputMessage="1" showErrorMessage="1" sqref="F24" xr:uid="{55D1DE8F-57A2-4582-82B2-D8D146F9EB63}">
      <formula1>"SR,Schottky diode"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24DA-E5E8-4B12-831E-A4BECC019D41}">
  <dimension ref="A2:I5"/>
  <sheetViews>
    <sheetView workbookViewId="0">
      <selection activeCell="F15" sqref="F15"/>
    </sheetView>
  </sheetViews>
  <sheetFormatPr defaultRowHeight="14.5"/>
  <cols>
    <col min="1" max="1" width="13.81640625" bestFit="1" customWidth="1"/>
    <col min="2" max="2" width="12" bestFit="1" customWidth="1"/>
    <col min="3" max="3" width="11.1796875" customWidth="1"/>
    <col min="4" max="4" width="12.26953125" customWidth="1"/>
    <col min="5" max="5" width="13.7265625" customWidth="1"/>
    <col min="6" max="6" width="12.7265625" bestFit="1" customWidth="1"/>
    <col min="7" max="7" width="12.1796875" bestFit="1" customWidth="1"/>
    <col min="8" max="8" width="10.90625" bestFit="1" customWidth="1"/>
    <col min="9" max="9" width="10.7265625" customWidth="1"/>
  </cols>
  <sheetData>
    <row r="2" spans="1:9">
      <c r="A2" s="25" t="s">
        <v>148</v>
      </c>
      <c r="B2" s="25" t="s">
        <v>149</v>
      </c>
      <c r="C2" s="25" t="s">
        <v>150</v>
      </c>
      <c r="D2" s="25" t="s">
        <v>163</v>
      </c>
      <c r="E2" s="25" t="s">
        <v>165</v>
      </c>
      <c r="F2" s="25" t="s">
        <v>151</v>
      </c>
      <c r="G2" s="25" t="s">
        <v>160</v>
      </c>
      <c r="H2" s="25" t="s">
        <v>164</v>
      </c>
      <c r="I2" s="25" t="s">
        <v>146</v>
      </c>
    </row>
    <row r="3" spans="1:9">
      <c r="A3" s="26" t="s">
        <v>152</v>
      </c>
      <c r="B3" s="27" t="s">
        <v>153</v>
      </c>
      <c r="C3" s="27" t="s">
        <v>154</v>
      </c>
      <c r="D3" s="27" t="s">
        <v>162</v>
      </c>
      <c r="E3" s="27" t="s">
        <v>166</v>
      </c>
      <c r="F3" s="27" t="s">
        <v>155</v>
      </c>
      <c r="G3" s="27" t="s">
        <v>147</v>
      </c>
      <c r="H3" s="27">
        <v>79</v>
      </c>
      <c r="I3" s="27" t="s">
        <v>161</v>
      </c>
    </row>
    <row r="4" spans="1:9">
      <c r="A4" s="26" t="s">
        <v>156</v>
      </c>
      <c r="B4" s="28" t="s">
        <v>157</v>
      </c>
      <c r="C4" s="28" t="s">
        <v>154</v>
      </c>
      <c r="D4" s="27" t="s">
        <v>162</v>
      </c>
      <c r="E4" s="28" t="s">
        <v>167</v>
      </c>
      <c r="F4" s="27" t="s">
        <v>155</v>
      </c>
      <c r="G4" s="28" t="s">
        <v>147</v>
      </c>
      <c r="H4" s="28">
        <v>79</v>
      </c>
      <c r="I4" s="28" t="s">
        <v>161</v>
      </c>
    </row>
    <row r="5" spans="1:9">
      <c r="A5" s="26" t="s">
        <v>158</v>
      </c>
      <c r="B5" s="27" t="s">
        <v>159</v>
      </c>
      <c r="C5" s="27" t="s">
        <v>154</v>
      </c>
      <c r="D5" s="27" t="s">
        <v>162</v>
      </c>
      <c r="E5" s="27" t="s">
        <v>168</v>
      </c>
      <c r="F5" s="27" t="s">
        <v>155</v>
      </c>
      <c r="G5" s="27" t="s">
        <v>147</v>
      </c>
      <c r="H5" s="27">
        <v>79</v>
      </c>
      <c r="I5" s="27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E76D-0EBA-4329-94C2-400CB5591575}">
  <dimension ref="A1:B47"/>
  <sheetViews>
    <sheetView tabSelected="1" zoomScale="85" zoomScaleNormal="85" workbookViewId="0">
      <selection activeCell="H52" sqref="H52"/>
    </sheetView>
  </sheetViews>
  <sheetFormatPr defaultRowHeight="14.5"/>
  <sheetData>
    <row r="1" spans="1:2" ht="18.5">
      <c r="A1" s="29" t="s">
        <v>169</v>
      </c>
    </row>
    <row r="2" spans="1:2">
      <c r="A2" s="30" t="s">
        <v>170</v>
      </c>
    </row>
    <row r="8" spans="1:2" ht="18.5">
      <c r="A8" s="29" t="s">
        <v>171</v>
      </c>
    </row>
    <row r="9" spans="1:2">
      <c r="A9" s="30" t="s">
        <v>172</v>
      </c>
    </row>
    <row r="14" spans="1:2" ht="18.5">
      <c r="A14" s="29" t="s">
        <v>175</v>
      </c>
      <c r="B14" s="30"/>
    </row>
    <row r="15" spans="1:2">
      <c r="A15" s="30" t="s">
        <v>174</v>
      </c>
      <c r="B15" s="30"/>
    </row>
    <row r="23" spans="1:1" ht="18.5">
      <c r="A23" s="29" t="s">
        <v>177</v>
      </c>
    </row>
    <row r="24" spans="1:1">
      <c r="A24" s="30" t="s">
        <v>178</v>
      </c>
    </row>
    <row r="31" spans="1:1" ht="18.5">
      <c r="A31" s="29" t="s">
        <v>173</v>
      </c>
    </row>
    <row r="32" spans="1:1">
      <c r="A32" s="30" t="s">
        <v>180</v>
      </c>
    </row>
    <row r="40" spans="1:1" ht="18.5">
      <c r="A40" s="29" t="s">
        <v>176</v>
      </c>
    </row>
    <row r="41" spans="1:1">
      <c r="A41" s="30" t="s">
        <v>179</v>
      </c>
    </row>
    <row r="46" spans="1:1" ht="18.5">
      <c r="A46" s="29" t="s">
        <v>182</v>
      </c>
    </row>
    <row r="47" spans="1:1">
      <c r="A47" s="30" t="s">
        <v>181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activeCell="D15" sqref="D15"/>
    </sheetView>
  </sheetViews>
  <sheetFormatPr defaultRowHeight="14.5"/>
  <cols>
    <col min="1" max="1" width="10.6328125" customWidth="1"/>
    <col min="2" max="3" width="14.453125" customWidth="1"/>
    <col min="4" max="4" width="6.7265625" customWidth="1"/>
    <col min="5" max="5" width="21.36328125" customWidth="1"/>
    <col min="6" max="6" width="22.26953125" customWidth="1"/>
    <col min="7" max="7" width="18.6328125" customWidth="1"/>
  </cols>
  <sheetData>
    <row r="1" spans="1:8">
      <c r="A1" s="10" t="s">
        <v>119</v>
      </c>
    </row>
    <row r="3" spans="1:8">
      <c r="A3" s="7" t="s">
        <v>100</v>
      </c>
      <c r="B3" s="7" t="s">
        <v>102</v>
      </c>
      <c r="C3" s="7" t="s">
        <v>112</v>
      </c>
      <c r="D3" s="7" t="s">
        <v>101</v>
      </c>
      <c r="E3" s="7" t="s">
        <v>111</v>
      </c>
      <c r="F3" s="9" t="s">
        <v>110</v>
      </c>
      <c r="G3" s="7" t="s">
        <v>107</v>
      </c>
      <c r="H3" s="7" t="s">
        <v>108</v>
      </c>
    </row>
    <row r="4" spans="1:8">
      <c r="A4" s="7" t="s">
        <v>103</v>
      </c>
      <c r="B4" s="8">
        <v>0.42199999999999999</v>
      </c>
      <c r="C4" s="8">
        <v>0.41299999999999998</v>
      </c>
      <c r="D4" s="8">
        <v>9.6999999999999993</v>
      </c>
      <c r="E4" s="8" t="s">
        <v>113</v>
      </c>
      <c r="F4" s="8" t="s">
        <v>116</v>
      </c>
      <c r="G4" s="8">
        <f>376/D4+10.5</f>
        <v>49.262886597938149</v>
      </c>
      <c r="H4" s="7">
        <v>60</v>
      </c>
    </row>
    <row r="5" spans="1:8">
      <c r="A5" s="7" t="s">
        <v>104</v>
      </c>
      <c r="B5" s="7">
        <v>0.42199999999999999</v>
      </c>
      <c r="C5" s="7">
        <v>0.309</v>
      </c>
      <c r="D5" s="7">
        <v>9.6999999999999993</v>
      </c>
      <c r="E5" s="7" t="s">
        <v>114</v>
      </c>
      <c r="F5" s="8" t="s">
        <v>116</v>
      </c>
      <c r="G5" s="8">
        <f t="shared" ref="G5:G7" si="0">376/D5+10.5</f>
        <v>49.262886597938149</v>
      </c>
      <c r="H5" s="7">
        <v>60</v>
      </c>
    </row>
    <row r="6" spans="1:8">
      <c r="A6" s="7" t="s">
        <v>105</v>
      </c>
      <c r="B6" s="7">
        <v>0.45700000000000002</v>
      </c>
      <c r="C6" s="7">
        <v>0.251</v>
      </c>
      <c r="D6" s="7">
        <v>9</v>
      </c>
      <c r="E6" s="7" t="s">
        <v>115</v>
      </c>
      <c r="F6" s="7" t="s">
        <v>118</v>
      </c>
      <c r="G6" s="8">
        <f t="shared" si="0"/>
        <v>52.277777777777779</v>
      </c>
      <c r="H6" s="7">
        <v>60</v>
      </c>
    </row>
    <row r="7" spans="1:8">
      <c r="A7" s="7" t="s">
        <v>106</v>
      </c>
      <c r="B7" s="7">
        <v>0.52</v>
      </c>
      <c r="C7" s="7">
        <v>0.22900000000000001</v>
      </c>
      <c r="D7" s="7">
        <v>6</v>
      </c>
      <c r="E7" s="7" t="s">
        <v>117</v>
      </c>
      <c r="F7" s="7" t="s">
        <v>109</v>
      </c>
      <c r="G7" s="8">
        <f t="shared" si="0"/>
        <v>73.166666666666657</v>
      </c>
      <c r="H7" s="7">
        <v>100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IC parameters</vt:lpstr>
      <vt:lpstr>user guide line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2026-03-04T05:54:17Z</dcterms:modified>
</cp:coreProperties>
</file>