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Joe\work\ACDC\design tool\"/>
    </mc:Choice>
  </mc:AlternateContent>
  <xr:revisionPtr revIDLastSave="0" documentId="13_ncr:1_{B1F6158D-FD8E-49FC-99BA-D55ED1BB7CAC}" xr6:coauthVersionLast="47" xr6:coauthVersionMax="47" xr10:uidLastSave="{00000000-0000-0000-0000-000000000000}"/>
  <bookViews>
    <workbookView xWindow="-110" yWindow="-110" windowWidth="19420" windowHeight="11500" tabRatio="599" xr2:uid="{00000000-000D-0000-FFFF-FFFF00000000}"/>
  </bookViews>
  <sheets>
    <sheet name="worksheet" sheetId="1" r:id="rId1"/>
    <sheet name="IC parameters" sheetId="8" r:id="rId2"/>
    <sheet name="user guide line" sheetId="9" r:id="rId3"/>
    <sheet name="LLCCM" sheetId="2" state="hidden" r:id="rId4"/>
    <sheet name="LLDCM" sheetId="7" state="hidden" r:id="rId5"/>
    <sheet name="HLDCM" sheetId="6"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8" i="1" l="1"/>
  <c r="F66" i="1"/>
  <c r="F31" i="1" l="1"/>
  <c r="F32" i="1"/>
  <c r="F72" i="1" l="1"/>
  <c r="F54" i="1"/>
  <c r="F55" i="1" s="1"/>
  <c r="F64" i="1"/>
  <c r="F65" i="1" l="1"/>
  <c r="F67" i="1"/>
  <c r="B64" i="7" l="1"/>
  <c r="B77" i="7"/>
  <c r="B89" i="7"/>
  <c r="B101" i="7"/>
  <c r="B113" i="7"/>
  <c r="B66" i="7"/>
  <c r="B78" i="7"/>
  <c r="B90" i="7"/>
  <c r="B102" i="7"/>
  <c r="B53" i="7"/>
  <c r="B67" i="7"/>
  <c r="B79" i="7"/>
  <c r="B91" i="7"/>
  <c r="B103" i="7"/>
  <c r="B68" i="7"/>
  <c r="B80" i="7"/>
  <c r="B92" i="7"/>
  <c r="B104" i="7"/>
  <c r="B69" i="7"/>
  <c r="B81" i="7"/>
  <c r="B93" i="7"/>
  <c r="B105" i="7"/>
  <c r="B70" i="7"/>
  <c r="B82" i="7"/>
  <c r="B94" i="7"/>
  <c r="B106" i="7"/>
  <c r="B71" i="7"/>
  <c r="B83" i="7"/>
  <c r="B95" i="7"/>
  <c r="B107" i="7"/>
  <c r="B72" i="7"/>
  <c r="B65" i="7"/>
  <c r="B54" i="7"/>
  <c r="B55" i="7"/>
  <c r="B56" i="7"/>
  <c r="B57" i="7"/>
  <c r="B96" i="7"/>
  <c r="B85" i="7"/>
  <c r="B109" i="7"/>
  <c r="B58" i="7"/>
  <c r="B59" i="7"/>
  <c r="B60" i="7"/>
  <c r="B61" i="7"/>
  <c r="B74" i="7"/>
  <c r="B86" i="7"/>
  <c r="B98" i="7"/>
  <c r="B110" i="7"/>
  <c r="B62" i="7"/>
  <c r="B75" i="7"/>
  <c r="B87" i="7"/>
  <c r="B99" i="7"/>
  <c r="B111" i="7"/>
  <c r="B63" i="7"/>
  <c r="B76" i="7"/>
  <c r="B88" i="7"/>
  <c r="B100" i="7"/>
  <c r="B112" i="7"/>
  <c r="B84" i="7"/>
  <c r="B108" i="7"/>
  <c r="B73" i="7"/>
  <c r="B97" i="7"/>
  <c r="B110" i="2"/>
  <c r="B109" i="2"/>
  <c r="B91" i="2"/>
  <c r="B85" i="2"/>
  <c r="B67" i="2"/>
  <c r="B66" i="2"/>
  <c r="B65" i="2"/>
  <c r="B107" i="2"/>
  <c r="B83" i="2"/>
  <c r="B59" i="2"/>
  <c r="B82" i="2"/>
  <c r="B55" i="2"/>
  <c r="B108" i="2"/>
  <c r="B106" i="2"/>
  <c r="B58" i="2"/>
  <c r="B57" i="2"/>
  <c r="B79" i="2"/>
  <c r="B97" i="2"/>
  <c r="B78" i="2"/>
  <c r="B54" i="2"/>
  <c r="B81" i="2"/>
  <c r="B98" i="2"/>
  <c r="B96" i="2"/>
  <c r="B72" i="2"/>
  <c r="B95" i="2"/>
  <c r="B71" i="2"/>
  <c r="B105" i="2"/>
  <c r="B94" i="2"/>
  <c r="B70" i="2"/>
  <c r="B111" i="2"/>
  <c r="B93" i="2"/>
  <c r="B69" i="2"/>
  <c r="B84" i="2"/>
  <c r="B103" i="2"/>
  <c r="B90" i="2"/>
  <c r="B77" i="2"/>
  <c r="B64" i="2"/>
  <c r="B53" i="2"/>
  <c r="B102" i="2"/>
  <c r="B89" i="2"/>
  <c r="B76" i="2"/>
  <c r="B63" i="2"/>
  <c r="B101" i="2"/>
  <c r="B88" i="2"/>
  <c r="B75" i="2"/>
  <c r="B62" i="2"/>
  <c r="B113" i="2"/>
  <c r="B100" i="2"/>
  <c r="B87" i="2"/>
  <c r="B74" i="2"/>
  <c r="B61" i="2"/>
  <c r="B112" i="2"/>
  <c r="B99" i="2"/>
  <c r="B86" i="2"/>
  <c r="B73" i="2"/>
  <c r="B60" i="2"/>
  <c r="B104" i="2"/>
  <c r="B92" i="2"/>
  <c r="B80" i="2"/>
  <c r="B68" i="2"/>
  <c r="B56" i="2"/>
  <c r="F19" i="1" l="1"/>
  <c r="F20" i="1"/>
  <c r="H113" i="7" l="1"/>
  <c r="D113" i="7"/>
  <c r="S113" i="7"/>
  <c r="O113" i="7"/>
  <c r="H113" i="2"/>
  <c r="S113" i="2"/>
  <c r="C54" i="7" l="1"/>
  <c r="C55" i="7" s="1"/>
  <c r="C56" i="7" s="1"/>
  <c r="C57" i="7" s="1"/>
  <c r="C58" i="7" s="1"/>
  <c r="C59" i="7" s="1"/>
  <c r="C60" i="7" s="1"/>
  <c r="C61" i="7" s="1"/>
  <c r="C62" i="7" s="1"/>
  <c r="C63" i="7" s="1"/>
  <c r="C64" i="7" s="1"/>
  <c r="C65" i="7" s="1"/>
  <c r="C66" i="7" s="1"/>
  <c r="C67" i="7" s="1"/>
  <c r="C68" i="7" s="1"/>
  <c r="C69" i="7" s="1"/>
  <c r="C70" i="7" s="1"/>
  <c r="C71" i="7" s="1"/>
  <c r="C72" i="7" s="1"/>
  <c r="C73" i="7" s="1"/>
  <c r="C74" i="7" s="1"/>
  <c r="C75" i="7" s="1"/>
  <c r="C76" i="7" s="1"/>
  <c r="C77" i="7" s="1"/>
  <c r="C78" i="7" s="1"/>
  <c r="C79" i="7" s="1"/>
  <c r="C80" i="7" s="1"/>
  <c r="C81" i="7" s="1"/>
  <c r="C82" i="7" s="1"/>
  <c r="C83" i="7" s="1"/>
  <c r="C84" i="7" s="1"/>
  <c r="C85" i="7" s="1"/>
  <c r="C86" i="7" s="1"/>
  <c r="C87" i="7" s="1"/>
  <c r="C88" i="7" s="1"/>
  <c r="C89" i="7" s="1"/>
  <c r="C90" i="7" s="1"/>
  <c r="C91" i="7" s="1"/>
  <c r="C92" i="7" s="1"/>
  <c r="C93" i="7" s="1"/>
  <c r="C94" i="7" s="1"/>
  <c r="C95" i="7" s="1"/>
  <c r="C96" i="7" s="1"/>
  <c r="C97" i="7" s="1"/>
  <c r="C98" i="7" s="1"/>
  <c r="C99" i="7" s="1"/>
  <c r="N54" i="2"/>
  <c r="N55" i="2" s="1"/>
  <c r="N56" i="2" s="1"/>
  <c r="N57" i="2" s="1"/>
  <c r="N58" i="2" s="1"/>
  <c r="N59" i="2" s="1"/>
  <c r="N60" i="2" s="1"/>
  <c r="N61" i="2" s="1"/>
  <c r="N62" i="2" s="1"/>
  <c r="N63" i="2" s="1"/>
  <c r="N64" i="2" s="1"/>
  <c r="N65" i="2" s="1"/>
  <c r="N66" i="2" s="1"/>
  <c r="N67" i="2" s="1"/>
  <c r="N68" i="2" s="1"/>
  <c r="N69" i="2" s="1"/>
  <c r="N70" i="2" s="1"/>
  <c r="N71" i="2" s="1"/>
  <c r="N72" i="2" s="1"/>
  <c r="N73" i="2" s="1"/>
  <c r="N74" i="2" s="1"/>
  <c r="N75" i="2" s="1"/>
  <c r="N76" i="2" s="1"/>
  <c r="N77" i="2" s="1"/>
  <c r="N78" i="2" s="1"/>
  <c r="N79" i="2" s="1"/>
  <c r="N80" i="2" s="1"/>
  <c r="N81" i="2" s="1"/>
  <c r="N82" i="2" s="1"/>
  <c r="N83" i="2" s="1"/>
  <c r="N84" i="2" s="1"/>
  <c r="N85" i="2" s="1"/>
  <c r="N86" i="2" s="1"/>
  <c r="N87" i="2" s="1"/>
  <c r="N88" i="2" s="1"/>
  <c r="N89" i="2" s="1"/>
  <c r="N90" i="2" s="1"/>
  <c r="N91" i="2" s="1"/>
  <c r="N92" i="2" s="1"/>
  <c r="N93" i="2" s="1"/>
  <c r="N94" i="2" s="1"/>
  <c r="N95" i="2" s="1"/>
  <c r="N96" i="2" s="1"/>
  <c r="N97" i="2" s="1"/>
  <c r="N98" i="2" s="1"/>
  <c r="N99" i="2" s="1"/>
  <c r="C54" i="2"/>
  <c r="C55" i="2" s="1"/>
  <c r="C56" i="2" s="1"/>
  <c r="C57" i="2" s="1"/>
  <c r="C58" i="2" s="1"/>
  <c r="C59" i="2" s="1"/>
  <c r="C60" i="2" s="1"/>
  <c r="C61" i="2" s="1"/>
  <c r="C62" i="2" s="1"/>
  <c r="C63" i="2" s="1"/>
  <c r="C64" i="2" s="1"/>
  <c r="C65" i="2" s="1"/>
  <c r="C66" i="2" s="1"/>
  <c r="C67" i="2" s="1"/>
  <c r="C68" i="2" s="1"/>
  <c r="C69" i="2" s="1"/>
  <c r="C70" i="2" s="1"/>
  <c r="C71" i="2" s="1"/>
  <c r="C72" i="2" s="1"/>
  <c r="C73" i="2" s="1"/>
  <c r="C74" i="2" s="1"/>
  <c r="C75" i="2" s="1"/>
  <c r="C76" i="2" s="1"/>
  <c r="C77" i="2" s="1"/>
  <c r="C78" i="2" s="1"/>
  <c r="C79" i="2" s="1"/>
  <c r="C80" i="2" s="1"/>
  <c r="C81" i="2" s="1"/>
  <c r="C82" i="2" s="1"/>
  <c r="C83" i="2" s="1"/>
  <c r="C84" i="2" s="1"/>
  <c r="C85" i="2" s="1"/>
  <c r="C86" i="2" s="1"/>
  <c r="C87" i="2" s="1"/>
  <c r="C88" i="2" s="1"/>
  <c r="C89" i="2" s="1"/>
  <c r="C90" i="2" s="1"/>
  <c r="C91" i="2" s="1"/>
  <c r="C92" i="2" s="1"/>
  <c r="C93" i="2" s="1"/>
  <c r="C94" i="2" s="1"/>
  <c r="C95" i="2" s="1"/>
  <c r="C96" i="2" s="1"/>
  <c r="C97" i="2" s="1"/>
  <c r="C98" i="2" s="1"/>
  <c r="C99" i="2" s="1"/>
  <c r="M4" i="7"/>
  <c r="M5" i="7"/>
  <c r="M6" i="7"/>
  <c r="M7" i="7"/>
  <c r="M8" i="7"/>
  <c r="M9" i="7"/>
  <c r="M10" i="7"/>
  <c r="M11" i="7"/>
  <c r="M12" i="7"/>
  <c r="M13" i="7"/>
  <c r="M14" i="7"/>
  <c r="M15" i="7"/>
  <c r="M16" i="7"/>
  <c r="M17" i="7"/>
  <c r="M18" i="7"/>
  <c r="M19" i="7"/>
  <c r="M20" i="7"/>
  <c r="M21" i="7"/>
  <c r="M22" i="7"/>
  <c r="M23" i="7"/>
  <c r="M24" i="7"/>
  <c r="M25" i="7"/>
  <c r="M26" i="7"/>
  <c r="M27" i="7"/>
  <c r="M28" i="7"/>
  <c r="M3" i="7"/>
  <c r="M4" i="2"/>
  <c r="M5" i="2"/>
  <c r="M6" i="2"/>
  <c r="M7" i="2"/>
  <c r="M8" i="2"/>
  <c r="M9" i="2"/>
  <c r="M10" i="2"/>
  <c r="M11" i="2"/>
  <c r="M12" i="2"/>
  <c r="M13" i="2"/>
  <c r="M14" i="2"/>
  <c r="M15" i="2"/>
  <c r="M16" i="2"/>
  <c r="M17" i="2"/>
  <c r="M18" i="2"/>
  <c r="M19" i="2"/>
  <c r="M20" i="2"/>
  <c r="M21" i="2"/>
  <c r="M22" i="2"/>
  <c r="M23" i="2"/>
  <c r="M24" i="2"/>
  <c r="M25" i="2"/>
  <c r="M26" i="2"/>
  <c r="M27" i="2"/>
  <c r="M28" i="2"/>
  <c r="M3" i="2"/>
  <c r="A1" i="2"/>
  <c r="N100" i="2" l="1"/>
  <c r="S99" i="2"/>
  <c r="C100" i="7"/>
  <c r="D99" i="7"/>
  <c r="H99" i="7"/>
  <c r="C100" i="2"/>
  <c r="H99" i="2"/>
  <c r="M54" i="2"/>
  <c r="M66" i="2"/>
  <c r="M78" i="2"/>
  <c r="M90" i="2"/>
  <c r="M102" i="2"/>
  <c r="M53" i="2"/>
  <c r="M29" i="2" s="1"/>
  <c r="M30" i="2" s="1"/>
  <c r="M31" i="2" s="1"/>
  <c r="M32" i="2" s="1"/>
  <c r="M33" i="2" s="1"/>
  <c r="M34" i="2" s="1"/>
  <c r="M35" i="2" s="1"/>
  <c r="M36" i="2" s="1"/>
  <c r="M37" i="2" s="1"/>
  <c r="M38" i="2" s="1"/>
  <c r="M39" i="2" s="1"/>
  <c r="M40" i="2" s="1"/>
  <c r="M41" i="2" s="1"/>
  <c r="M42" i="2" s="1"/>
  <c r="M43" i="2" s="1"/>
  <c r="M44" i="2" s="1"/>
  <c r="M45" i="2" s="1"/>
  <c r="M46" i="2" s="1"/>
  <c r="M47" i="2" s="1"/>
  <c r="M48" i="2" s="1"/>
  <c r="M49" i="2" s="1"/>
  <c r="M50" i="2" s="1"/>
  <c r="M51" i="2" s="1"/>
  <c r="M52" i="2" s="1"/>
  <c r="M101" i="7"/>
  <c r="M113" i="7"/>
  <c r="M91" i="2"/>
  <c r="M64" i="2"/>
  <c r="M112" i="2"/>
  <c r="M89" i="2"/>
  <c r="M55" i="2"/>
  <c r="M67" i="2"/>
  <c r="M79" i="2"/>
  <c r="M103" i="2"/>
  <c r="M102" i="7"/>
  <c r="M56" i="2"/>
  <c r="M68" i="2"/>
  <c r="M80" i="2"/>
  <c r="M92" i="2"/>
  <c r="M104" i="2"/>
  <c r="M103" i="7"/>
  <c r="M99" i="7"/>
  <c r="M110" i="7"/>
  <c r="M76" i="2"/>
  <c r="M101" i="2"/>
  <c r="M57" i="2"/>
  <c r="M69" i="2"/>
  <c r="M81" i="2"/>
  <c r="M93" i="2"/>
  <c r="M105" i="2"/>
  <c r="M104" i="7"/>
  <c r="M63" i="2"/>
  <c r="M77" i="2"/>
  <c r="M112" i="7"/>
  <c r="M58" i="2"/>
  <c r="M70" i="2"/>
  <c r="M82" i="2"/>
  <c r="M94" i="2"/>
  <c r="M106" i="2"/>
  <c r="M105" i="7"/>
  <c r="M87" i="2"/>
  <c r="M100" i="7"/>
  <c r="M59" i="2"/>
  <c r="M71" i="2"/>
  <c r="M83" i="2"/>
  <c r="M95" i="2"/>
  <c r="M107" i="2"/>
  <c r="M106" i="7"/>
  <c r="M99" i="2"/>
  <c r="M60" i="2"/>
  <c r="M72" i="2"/>
  <c r="M84" i="2"/>
  <c r="M96" i="2"/>
  <c r="M108" i="2"/>
  <c r="M107" i="7"/>
  <c r="M111" i="2"/>
  <c r="M88" i="2"/>
  <c r="M65" i="2"/>
  <c r="M113" i="2"/>
  <c r="M61" i="2"/>
  <c r="M73" i="2"/>
  <c r="M85" i="2"/>
  <c r="M97" i="2"/>
  <c r="M109" i="2"/>
  <c r="M108" i="7"/>
  <c r="M62" i="2"/>
  <c r="M74" i="2"/>
  <c r="M86" i="2"/>
  <c r="M98" i="2"/>
  <c r="M110" i="2"/>
  <c r="M109" i="7"/>
  <c r="M75" i="2"/>
  <c r="M100" i="2"/>
  <c r="M111" i="7"/>
  <c r="M90" i="7"/>
  <c r="M78" i="7"/>
  <c r="M54" i="7"/>
  <c r="M89" i="7"/>
  <c r="M77" i="7"/>
  <c r="M65" i="7"/>
  <c r="M88" i="7"/>
  <c r="M76" i="7"/>
  <c r="M64" i="7"/>
  <c r="M53" i="7"/>
  <c r="M29" i="7" s="1"/>
  <c r="M30" i="7" s="1"/>
  <c r="M31" i="7" s="1"/>
  <c r="M32" i="7" s="1"/>
  <c r="M33" i="7" s="1"/>
  <c r="M34" i="7" s="1"/>
  <c r="M35" i="7" s="1"/>
  <c r="M36" i="7" s="1"/>
  <c r="M37" i="7" s="1"/>
  <c r="M38" i="7" s="1"/>
  <c r="M39" i="7" s="1"/>
  <c r="M40" i="7" s="1"/>
  <c r="M41" i="7" s="1"/>
  <c r="M42" i="7" s="1"/>
  <c r="M43" i="7" s="1"/>
  <c r="M44" i="7" s="1"/>
  <c r="M45" i="7" s="1"/>
  <c r="M46" i="7" s="1"/>
  <c r="M47" i="7" s="1"/>
  <c r="M48" i="7" s="1"/>
  <c r="M49" i="7" s="1"/>
  <c r="M50" i="7" s="1"/>
  <c r="M51" i="7" s="1"/>
  <c r="M52" i="7" s="1"/>
  <c r="M87" i="7"/>
  <c r="M75" i="7"/>
  <c r="M63" i="7"/>
  <c r="M98" i="7"/>
  <c r="M86" i="7"/>
  <c r="M74" i="7"/>
  <c r="M62" i="7"/>
  <c r="M97" i="7"/>
  <c r="M85" i="7"/>
  <c r="M73" i="7"/>
  <c r="M61" i="7"/>
  <c r="M96" i="7"/>
  <c r="M84" i="7"/>
  <c r="M72" i="7"/>
  <c r="M60" i="7"/>
  <c r="M95" i="7"/>
  <c r="M83" i="7"/>
  <c r="M71" i="7"/>
  <c r="M59" i="7"/>
  <c r="M94" i="7"/>
  <c r="M82" i="7"/>
  <c r="M70" i="7"/>
  <c r="M58" i="7"/>
  <c r="M93" i="7"/>
  <c r="M69" i="7"/>
  <c r="M57" i="7"/>
  <c r="M56" i="7"/>
  <c r="M91" i="7"/>
  <c r="M67" i="7"/>
  <c r="M55" i="7"/>
  <c r="M81" i="7"/>
  <c r="M92" i="7"/>
  <c r="M66" i="7"/>
  <c r="M79" i="7"/>
  <c r="M68" i="7"/>
  <c r="M80" i="7"/>
  <c r="N101" i="2" l="1"/>
  <c r="S100" i="2"/>
  <c r="C101" i="7"/>
  <c r="H100" i="7"/>
  <c r="D100" i="7"/>
  <c r="C101" i="2"/>
  <c r="H100" i="2"/>
  <c r="N102" i="2" l="1"/>
  <c r="S101" i="2"/>
  <c r="C102" i="7"/>
  <c r="H101" i="7"/>
  <c r="D101" i="7"/>
  <c r="C102" i="2"/>
  <c r="H101" i="2"/>
  <c r="E47" i="1"/>
  <c r="E46" i="1"/>
  <c r="N103" i="2" l="1"/>
  <c r="S102" i="2"/>
  <c r="C103" i="7"/>
  <c r="H102" i="7"/>
  <c r="D102" i="7"/>
  <c r="C103" i="2"/>
  <c r="H102" i="2"/>
  <c r="C4" i="7"/>
  <c r="C5" i="7" s="1"/>
  <c r="C6" i="7" s="1"/>
  <c r="C7" i="7" s="1"/>
  <c r="C8" i="7" s="1"/>
  <c r="C9" i="7" s="1"/>
  <c r="C10" i="7" s="1"/>
  <c r="C11" i="7" s="1"/>
  <c r="C12" i="7" s="1"/>
  <c r="C13" i="7" s="1"/>
  <c r="C14" i="7" s="1"/>
  <c r="C15" i="7" s="1"/>
  <c r="C16" i="7" s="1"/>
  <c r="C17" i="7" s="1"/>
  <c r="C18" i="7" s="1"/>
  <c r="C19" i="7" s="1"/>
  <c r="C20" i="7" s="1"/>
  <c r="C21" i="7" s="1"/>
  <c r="C22" i="7" s="1"/>
  <c r="C23" i="7" s="1"/>
  <c r="C24" i="7" s="1"/>
  <c r="C25" i="7" s="1"/>
  <c r="C26" i="7" s="1"/>
  <c r="C27" i="7" s="1"/>
  <c r="N104" i="2" l="1"/>
  <c r="S103" i="2"/>
  <c r="C104" i="7"/>
  <c r="D103" i="7"/>
  <c r="H103" i="7"/>
  <c r="C104" i="2"/>
  <c r="H103" i="2"/>
  <c r="F9" i="1"/>
  <c r="N105" i="2" l="1"/>
  <c r="S104" i="2"/>
  <c r="C105" i="7"/>
  <c r="D104" i="7"/>
  <c r="H104" i="7"/>
  <c r="C105" i="2"/>
  <c r="H104" i="2"/>
  <c r="N106" i="2" l="1"/>
  <c r="S105" i="2"/>
  <c r="C106" i="7"/>
  <c r="H105" i="7"/>
  <c r="D105" i="7"/>
  <c r="C106" i="2"/>
  <c r="H105" i="2"/>
  <c r="F34" i="1"/>
  <c r="H41" i="1"/>
  <c r="H40" i="1"/>
  <c r="H39" i="1"/>
  <c r="H38" i="1"/>
  <c r="E51" i="1"/>
  <c r="E50" i="1"/>
  <c r="L1" i="6"/>
  <c r="E48" i="1"/>
  <c r="E49" i="1"/>
  <c r="E45" i="1"/>
  <c r="E44" i="1"/>
  <c r="E16" i="1"/>
  <c r="E37" i="1"/>
  <c r="L1" i="7"/>
  <c r="L1" i="2"/>
  <c r="N107" i="2" l="1"/>
  <c r="S106" i="2"/>
  <c r="C107" i="7"/>
  <c r="H106" i="7"/>
  <c r="D106" i="7"/>
  <c r="C107" i="2"/>
  <c r="H106" i="2"/>
  <c r="M60" i="6"/>
  <c r="M82" i="6"/>
  <c r="M83" i="6"/>
  <c r="M106" i="6"/>
  <c r="M90" i="6"/>
  <c r="M75" i="6"/>
  <c r="M58" i="6"/>
  <c r="M53" i="6"/>
  <c r="M74" i="6"/>
  <c r="M107" i="6"/>
  <c r="M59" i="6"/>
  <c r="M91" i="6"/>
  <c r="M98" i="6"/>
  <c r="M66" i="6"/>
  <c r="M99" i="6"/>
  <c r="M67" i="6"/>
  <c r="M105" i="6"/>
  <c r="M89" i="6"/>
  <c r="M81" i="6"/>
  <c r="M73" i="6"/>
  <c r="M57" i="6"/>
  <c r="M112" i="6"/>
  <c r="M96" i="6"/>
  <c r="M80" i="6"/>
  <c r="M64" i="6"/>
  <c r="M56" i="6"/>
  <c r="M103" i="6"/>
  <c r="M87" i="6"/>
  <c r="M110" i="6"/>
  <c r="M102" i="6"/>
  <c r="M94" i="6"/>
  <c r="M86" i="6"/>
  <c r="M78" i="6"/>
  <c r="M70" i="6"/>
  <c r="M62" i="6"/>
  <c r="M54" i="6"/>
  <c r="M104" i="6"/>
  <c r="M88" i="6"/>
  <c r="M72" i="6"/>
  <c r="M111" i="6"/>
  <c r="M95" i="6"/>
  <c r="M79" i="6"/>
  <c r="M71" i="6"/>
  <c r="M63" i="6"/>
  <c r="M55" i="6"/>
  <c r="M109" i="6"/>
  <c r="M101" i="6"/>
  <c r="M93" i="6"/>
  <c r="M85" i="6"/>
  <c r="M77" i="6"/>
  <c r="M69" i="6"/>
  <c r="M61" i="6"/>
  <c r="M113" i="6"/>
  <c r="M97" i="6"/>
  <c r="M65" i="6"/>
  <c r="M108" i="6"/>
  <c r="M100" i="6"/>
  <c r="M92" i="6"/>
  <c r="M84" i="6"/>
  <c r="M76" i="6"/>
  <c r="M68" i="6"/>
  <c r="S28" i="6"/>
  <c r="S29" i="6"/>
  <c r="S30" i="6"/>
  <c r="S31" i="6"/>
  <c r="S32" i="6"/>
  <c r="S33" i="6"/>
  <c r="S34" i="6"/>
  <c r="S35" i="6"/>
  <c r="S36" i="6"/>
  <c r="S37" i="6"/>
  <c r="S38" i="6"/>
  <c r="S39" i="6"/>
  <c r="S40" i="6"/>
  <c r="S41" i="6"/>
  <c r="S42" i="6"/>
  <c r="S43" i="6"/>
  <c r="S44" i="6"/>
  <c r="S45" i="6"/>
  <c r="S46" i="6"/>
  <c r="S47" i="6"/>
  <c r="S48" i="6"/>
  <c r="S49" i="6"/>
  <c r="S50" i="6"/>
  <c r="S51" i="6"/>
  <c r="S52" i="6"/>
  <c r="S53" i="6"/>
  <c r="S113" i="6"/>
  <c r="S3" i="6"/>
  <c r="H28" i="6"/>
  <c r="H29" i="6"/>
  <c r="H30" i="6"/>
  <c r="H31" i="6"/>
  <c r="H32" i="6"/>
  <c r="H33" i="6"/>
  <c r="H34" i="6"/>
  <c r="H35" i="6"/>
  <c r="H36" i="6"/>
  <c r="H37" i="6"/>
  <c r="H38" i="6"/>
  <c r="H39" i="6"/>
  <c r="H40" i="6"/>
  <c r="H41" i="6"/>
  <c r="H42" i="6"/>
  <c r="H43" i="6"/>
  <c r="H44" i="6"/>
  <c r="H45" i="6"/>
  <c r="H46" i="6"/>
  <c r="H47" i="6"/>
  <c r="H48" i="6"/>
  <c r="H49" i="6"/>
  <c r="H50" i="6"/>
  <c r="H51" i="6"/>
  <c r="H52" i="6"/>
  <c r="H53" i="6"/>
  <c r="H113" i="6"/>
  <c r="H3" i="6"/>
  <c r="S28" i="7"/>
  <c r="S29" i="7"/>
  <c r="S30" i="7"/>
  <c r="S31" i="7"/>
  <c r="S32" i="7"/>
  <c r="S33" i="7"/>
  <c r="S34" i="7"/>
  <c r="S35" i="7"/>
  <c r="S36" i="7"/>
  <c r="S37" i="7"/>
  <c r="S38" i="7"/>
  <c r="S39" i="7"/>
  <c r="S40" i="7"/>
  <c r="S41" i="7"/>
  <c r="S42" i="7"/>
  <c r="S43" i="7"/>
  <c r="S44" i="7"/>
  <c r="S45" i="7"/>
  <c r="S46" i="7"/>
  <c r="S47" i="7"/>
  <c r="S48" i="7"/>
  <c r="S49" i="7"/>
  <c r="S50" i="7"/>
  <c r="S51" i="7"/>
  <c r="S52" i="7"/>
  <c r="S3" i="7"/>
  <c r="O28" i="7"/>
  <c r="O29" i="7"/>
  <c r="O30" i="7"/>
  <c r="O31" i="7"/>
  <c r="O32" i="7"/>
  <c r="O33" i="7"/>
  <c r="O34" i="7"/>
  <c r="O35" i="7"/>
  <c r="O36" i="7"/>
  <c r="O37" i="7"/>
  <c r="O38" i="7"/>
  <c r="O39" i="7"/>
  <c r="O40" i="7"/>
  <c r="O41" i="7"/>
  <c r="O42" i="7"/>
  <c r="O43" i="7"/>
  <c r="O44" i="7"/>
  <c r="O45" i="7"/>
  <c r="O46" i="7"/>
  <c r="O47" i="7"/>
  <c r="O48" i="7"/>
  <c r="O49" i="7"/>
  <c r="O50" i="7"/>
  <c r="O51" i="7"/>
  <c r="O52" i="7"/>
  <c r="O3" i="7"/>
  <c r="H28" i="7"/>
  <c r="H29" i="7"/>
  <c r="H30" i="7"/>
  <c r="H31" i="7"/>
  <c r="H32" i="7"/>
  <c r="H33" i="7"/>
  <c r="H34" i="7"/>
  <c r="H35" i="7"/>
  <c r="H36" i="7"/>
  <c r="H37" i="7"/>
  <c r="H38" i="7"/>
  <c r="H39" i="7"/>
  <c r="H40" i="7"/>
  <c r="H41" i="7"/>
  <c r="H42" i="7"/>
  <c r="H43" i="7"/>
  <c r="H44" i="7"/>
  <c r="H45" i="7"/>
  <c r="H46" i="7"/>
  <c r="H47" i="7"/>
  <c r="H48" i="7"/>
  <c r="H49" i="7"/>
  <c r="H50" i="7"/>
  <c r="H51" i="7"/>
  <c r="H52" i="7"/>
  <c r="H53" i="7"/>
  <c r="H3" i="7"/>
  <c r="D28" i="7"/>
  <c r="D29" i="7"/>
  <c r="D30" i="7"/>
  <c r="D31" i="7"/>
  <c r="D32" i="7"/>
  <c r="D33" i="7"/>
  <c r="D34" i="7"/>
  <c r="D35" i="7"/>
  <c r="D36" i="7"/>
  <c r="D37" i="7"/>
  <c r="D38" i="7"/>
  <c r="D39" i="7"/>
  <c r="D40" i="7"/>
  <c r="D41" i="7"/>
  <c r="D42" i="7"/>
  <c r="D43" i="7"/>
  <c r="D44" i="7"/>
  <c r="D45" i="7"/>
  <c r="D46" i="7"/>
  <c r="D47" i="7"/>
  <c r="D48" i="7"/>
  <c r="D49" i="7"/>
  <c r="D50" i="7"/>
  <c r="D51" i="7"/>
  <c r="D52" i="7"/>
  <c r="D53" i="7"/>
  <c r="D3" i="7"/>
  <c r="S28" i="2"/>
  <c r="S3" i="2"/>
  <c r="H3" i="2"/>
  <c r="F29" i="1"/>
  <c r="F35" i="1" s="1"/>
  <c r="E36" i="1"/>
  <c r="B59" i="6"/>
  <c r="B67" i="6"/>
  <c r="B75" i="6"/>
  <c r="B83" i="6"/>
  <c r="B91" i="6"/>
  <c r="B99" i="6"/>
  <c r="B107" i="6"/>
  <c r="F33" i="1" l="1"/>
  <c r="F30" i="1"/>
  <c r="F37" i="1"/>
  <c r="O107" i="2" s="1"/>
  <c r="N108" i="2"/>
  <c r="S107" i="2"/>
  <c r="B29" i="7"/>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F41" i="1"/>
  <c r="F39" i="1"/>
  <c r="F45" i="1" s="1"/>
  <c r="C108" i="7"/>
  <c r="H107" i="7"/>
  <c r="D107" i="7"/>
  <c r="E107" i="7" s="1"/>
  <c r="F107" i="7" s="1"/>
  <c r="G107" i="7" s="1"/>
  <c r="C108" i="2"/>
  <c r="H107" i="2"/>
  <c r="E99" i="7"/>
  <c r="F99" i="7" s="1"/>
  <c r="G99" i="7" s="1"/>
  <c r="E100" i="7"/>
  <c r="F100" i="7" s="1"/>
  <c r="G100" i="7" s="1"/>
  <c r="E101" i="7"/>
  <c r="F101" i="7" s="1"/>
  <c r="G101" i="7" s="1"/>
  <c r="E113" i="7"/>
  <c r="F113" i="7" s="1"/>
  <c r="G113" i="7" s="1"/>
  <c r="E102" i="7"/>
  <c r="F102" i="7" s="1"/>
  <c r="G102" i="7" s="1"/>
  <c r="E106" i="7"/>
  <c r="F106" i="7" s="1"/>
  <c r="G106" i="7" s="1"/>
  <c r="E103" i="7"/>
  <c r="F103" i="7" s="1"/>
  <c r="G103" i="7" s="1"/>
  <c r="P113" i="7"/>
  <c r="Q113" i="7" s="1"/>
  <c r="R113" i="7" s="1"/>
  <c r="T113" i="7" s="1"/>
  <c r="E104" i="7"/>
  <c r="F104" i="7" s="1"/>
  <c r="G104" i="7" s="1"/>
  <c r="E105" i="7"/>
  <c r="F105" i="7" s="1"/>
  <c r="G105" i="7" s="1"/>
  <c r="J109" i="7"/>
  <c r="J103" i="7"/>
  <c r="J112" i="7"/>
  <c r="J106" i="2"/>
  <c r="J101" i="2"/>
  <c r="J100" i="2"/>
  <c r="J104" i="2"/>
  <c r="J101" i="7"/>
  <c r="J108" i="2"/>
  <c r="J102" i="2"/>
  <c r="J103" i="2"/>
  <c r="J108" i="7"/>
  <c r="J111" i="2"/>
  <c r="J105" i="7"/>
  <c r="J107" i="7"/>
  <c r="J105" i="2"/>
  <c r="J112" i="2"/>
  <c r="J110" i="2"/>
  <c r="J111" i="7"/>
  <c r="J99" i="2"/>
  <c r="J110" i="7"/>
  <c r="J104" i="7"/>
  <c r="J107" i="2"/>
  <c r="J106" i="7"/>
  <c r="J109" i="2"/>
  <c r="J102" i="7"/>
  <c r="J100" i="7"/>
  <c r="J99" i="7"/>
  <c r="J113" i="7"/>
  <c r="J113" i="2"/>
  <c r="F63" i="1"/>
  <c r="P32" i="7"/>
  <c r="P3" i="7"/>
  <c r="P47" i="7"/>
  <c r="P39" i="7"/>
  <c r="P31" i="7"/>
  <c r="P46" i="7"/>
  <c r="P37" i="7"/>
  <c r="P36" i="7"/>
  <c r="P30" i="7"/>
  <c r="P44" i="7"/>
  <c r="P51" i="7"/>
  <c r="P43" i="7"/>
  <c r="P35" i="7"/>
  <c r="P48" i="7"/>
  <c r="P38" i="7"/>
  <c r="P45" i="7"/>
  <c r="P28" i="7"/>
  <c r="P50" i="7"/>
  <c r="P42" i="7"/>
  <c r="P34" i="7"/>
  <c r="P40" i="7"/>
  <c r="P29" i="7"/>
  <c r="P52" i="7"/>
  <c r="P49" i="7"/>
  <c r="P41" i="7"/>
  <c r="P33" i="7"/>
  <c r="B90" i="6"/>
  <c r="B66" i="6"/>
  <c r="B113" i="6"/>
  <c r="B105" i="6"/>
  <c r="B97" i="6"/>
  <c r="B89" i="6"/>
  <c r="B81" i="6"/>
  <c r="B73" i="6"/>
  <c r="B65" i="6"/>
  <c r="B57" i="6"/>
  <c r="B106" i="6"/>
  <c r="B82" i="6"/>
  <c r="B58" i="6"/>
  <c r="B112" i="6"/>
  <c r="B104" i="6"/>
  <c r="B96" i="6"/>
  <c r="B88" i="6"/>
  <c r="B80" i="6"/>
  <c r="B72" i="6"/>
  <c r="B64" i="6"/>
  <c r="B56" i="6"/>
  <c r="B98" i="6"/>
  <c r="B74" i="6"/>
  <c r="B111" i="6"/>
  <c r="B103" i="6"/>
  <c r="B95" i="6"/>
  <c r="B87" i="6"/>
  <c r="B79" i="6"/>
  <c r="B71" i="6"/>
  <c r="B63" i="6"/>
  <c r="B55" i="6"/>
  <c r="B102" i="6"/>
  <c r="B86" i="6"/>
  <c r="B70" i="6"/>
  <c r="B54" i="6"/>
  <c r="B109" i="6"/>
  <c r="B101" i="6"/>
  <c r="B93" i="6"/>
  <c r="B85" i="6"/>
  <c r="B77" i="6"/>
  <c r="B69" i="6"/>
  <c r="B61" i="6"/>
  <c r="B110" i="6"/>
  <c r="B94" i="6"/>
  <c r="B78" i="6"/>
  <c r="B62" i="6"/>
  <c r="B108" i="6"/>
  <c r="B100" i="6"/>
  <c r="B92" i="6"/>
  <c r="B84" i="6"/>
  <c r="B76" i="6"/>
  <c r="B68" i="6"/>
  <c r="B60" i="6"/>
  <c r="E49" i="7"/>
  <c r="E41" i="7"/>
  <c r="E33" i="7"/>
  <c r="E37" i="7"/>
  <c r="E53" i="7"/>
  <c r="E45" i="7"/>
  <c r="E29" i="7"/>
  <c r="E51" i="7"/>
  <c r="E43" i="7"/>
  <c r="E35" i="7"/>
  <c r="E3" i="7"/>
  <c r="E50" i="7"/>
  <c r="E42" i="7"/>
  <c r="E34" i="7"/>
  <c r="E48" i="7"/>
  <c r="E40" i="7"/>
  <c r="E32" i="7"/>
  <c r="E47" i="7"/>
  <c r="E39" i="7"/>
  <c r="E31" i="7"/>
  <c r="E46" i="7"/>
  <c r="E38" i="7"/>
  <c r="E30" i="7"/>
  <c r="E52" i="7"/>
  <c r="E44" i="7"/>
  <c r="E36" i="7"/>
  <c r="E28" i="7"/>
  <c r="B53" i="6"/>
  <c r="A1" i="6"/>
  <c r="A1" i="7"/>
  <c r="O103" i="2" l="1"/>
  <c r="R103" i="2" s="1"/>
  <c r="I105" i="7"/>
  <c r="I103" i="7"/>
  <c r="I102" i="7"/>
  <c r="I113" i="7"/>
  <c r="I101" i="7"/>
  <c r="I100" i="7"/>
  <c r="I104" i="7"/>
  <c r="I106" i="7"/>
  <c r="I99" i="7"/>
  <c r="O102" i="2"/>
  <c r="R102" i="2" s="1"/>
  <c r="O113" i="2"/>
  <c r="R113" i="2" s="1"/>
  <c r="O100" i="2"/>
  <c r="R100" i="2" s="1"/>
  <c r="O101" i="2"/>
  <c r="R101" i="2" s="1"/>
  <c r="O99" i="2"/>
  <c r="R99" i="2" s="1"/>
  <c r="O106" i="2"/>
  <c r="R106" i="2" s="1"/>
  <c r="O105" i="2"/>
  <c r="R105" i="2" s="1"/>
  <c r="O108" i="2"/>
  <c r="P108" i="2" s="1"/>
  <c r="O104" i="2"/>
  <c r="R104" i="2" s="1"/>
  <c r="R107" i="2"/>
  <c r="N109" i="2"/>
  <c r="S108" i="2"/>
  <c r="I107" i="7"/>
  <c r="C109" i="7"/>
  <c r="D108" i="7"/>
  <c r="E108" i="7" s="1"/>
  <c r="F108" i="7" s="1"/>
  <c r="G108" i="7" s="1"/>
  <c r="H108" i="7"/>
  <c r="C109" i="2"/>
  <c r="H108" i="2"/>
  <c r="P107" i="2"/>
  <c r="T6" i="1"/>
  <c r="U10" i="1" s="1"/>
  <c r="P103" i="2" l="1"/>
  <c r="T103" i="2" s="1"/>
  <c r="P102" i="2"/>
  <c r="T102" i="2" s="1"/>
  <c r="P113" i="2"/>
  <c r="Q113" i="2" s="1"/>
  <c r="P100" i="2"/>
  <c r="T100" i="2" s="1"/>
  <c r="P101" i="2"/>
  <c r="T101" i="2" s="1"/>
  <c r="P105" i="2"/>
  <c r="T105" i="2" s="1"/>
  <c r="P106" i="2"/>
  <c r="T106" i="2" s="1"/>
  <c r="P99" i="2"/>
  <c r="T99" i="2" s="1"/>
  <c r="R108" i="2"/>
  <c r="T108" i="2" s="1"/>
  <c r="P104" i="2"/>
  <c r="T104" i="2" s="1"/>
  <c r="T107" i="2"/>
  <c r="N110" i="2"/>
  <c r="S109" i="2"/>
  <c r="O109" i="2"/>
  <c r="I108" i="7"/>
  <c r="C110" i="7"/>
  <c r="D109" i="7"/>
  <c r="E109" i="7" s="1"/>
  <c r="F109" i="7" s="1"/>
  <c r="G109" i="7" s="1"/>
  <c r="H109" i="7"/>
  <c r="C110" i="2"/>
  <c r="H109" i="2"/>
  <c r="M29" i="6"/>
  <c r="M30" i="6" s="1"/>
  <c r="M31" i="6" s="1"/>
  <c r="M32" i="6" s="1"/>
  <c r="M33" i="6" s="1"/>
  <c r="M34" i="6" s="1"/>
  <c r="M35" i="6" s="1"/>
  <c r="M36" i="6" s="1"/>
  <c r="M37" i="6" s="1"/>
  <c r="M38" i="6" s="1"/>
  <c r="M39" i="6" s="1"/>
  <c r="M40" i="6" s="1"/>
  <c r="M41" i="6" s="1"/>
  <c r="M42" i="6" s="1"/>
  <c r="M43" i="6" s="1"/>
  <c r="M44" i="6" s="1"/>
  <c r="M45" i="6" s="1"/>
  <c r="M46" i="6" s="1"/>
  <c r="M47" i="6" s="1"/>
  <c r="M48" i="6" s="1"/>
  <c r="M49" i="6" s="1"/>
  <c r="M50" i="6" s="1"/>
  <c r="M51" i="6" s="1"/>
  <c r="M52" i="6" s="1"/>
  <c r="N54" i="6"/>
  <c r="N4" i="6"/>
  <c r="B29" i="6"/>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C54" i="6"/>
  <c r="C4" i="6"/>
  <c r="N4" i="7"/>
  <c r="J5" i="2"/>
  <c r="J6" i="2"/>
  <c r="J7" i="2"/>
  <c r="J8" i="2"/>
  <c r="J9" i="2"/>
  <c r="J10" i="2"/>
  <c r="J11" i="2"/>
  <c r="J12" i="2"/>
  <c r="J13" i="2"/>
  <c r="J14" i="2"/>
  <c r="J15" i="2"/>
  <c r="J16" i="2"/>
  <c r="J17" i="2"/>
  <c r="J18" i="2"/>
  <c r="J19" i="2"/>
  <c r="J20" i="2"/>
  <c r="J21" i="2"/>
  <c r="J22" i="2"/>
  <c r="J23" i="2"/>
  <c r="J24" i="2"/>
  <c r="J25" i="2"/>
  <c r="J26" i="2"/>
  <c r="J27" i="2"/>
  <c r="J28" i="2"/>
  <c r="T113" i="2" l="1"/>
  <c r="R109" i="2"/>
  <c r="P109" i="2"/>
  <c r="N111" i="2"/>
  <c r="S110" i="2"/>
  <c r="O110" i="2"/>
  <c r="I109" i="7"/>
  <c r="C111" i="7"/>
  <c r="D110" i="7"/>
  <c r="E110" i="7" s="1"/>
  <c r="F110" i="7" s="1"/>
  <c r="G110" i="7" s="1"/>
  <c r="H110" i="7"/>
  <c r="C111" i="2"/>
  <c r="H110" i="2"/>
  <c r="C5" i="6"/>
  <c r="H4" i="6"/>
  <c r="N5" i="7"/>
  <c r="O4" i="7"/>
  <c r="P4" i="7" s="1"/>
  <c r="S4" i="7"/>
  <c r="C55" i="6"/>
  <c r="H54" i="6"/>
  <c r="D4" i="7"/>
  <c r="E4" i="7" s="1"/>
  <c r="H4" i="7"/>
  <c r="N55" i="6"/>
  <c r="S54" i="6"/>
  <c r="D54" i="7"/>
  <c r="E54" i="7" s="1"/>
  <c r="H54" i="7"/>
  <c r="N5" i="6"/>
  <c r="S4" i="6"/>
  <c r="T109" i="2" l="1"/>
  <c r="R110" i="2"/>
  <c r="P110" i="2"/>
  <c r="N112" i="2"/>
  <c r="S111" i="2"/>
  <c r="O111" i="2"/>
  <c r="I110" i="7"/>
  <c r="C112" i="7"/>
  <c r="D111" i="7"/>
  <c r="E111" i="7" s="1"/>
  <c r="F111" i="7" s="1"/>
  <c r="G111" i="7" s="1"/>
  <c r="H111" i="7"/>
  <c r="C112" i="2"/>
  <c r="H112" i="2" s="1"/>
  <c r="H111" i="2"/>
  <c r="N56" i="6"/>
  <c r="S55" i="6"/>
  <c r="C56" i="6"/>
  <c r="H55" i="6"/>
  <c r="H5" i="7"/>
  <c r="D5" i="7"/>
  <c r="E5" i="7" s="1"/>
  <c r="C6" i="6"/>
  <c r="H5" i="6"/>
  <c r="N6" i="7"/>
  <c r="O5" i="7"/>
  <c r="P5" i="7" s="1"/>
  <c r="S5" i="7"/>
  <c r="N6" i="6"/>
  <c r="S5" i="6"/>
  <c r="D55" i="7"/>
  <c r="E55" i="7" s="1"/>
  <c r="H55" i="7"/>
  <c r="J4" i="2"/>
  <c r="J3" i="2"/>
  <c r="T110" i="2" l="1"/>
  <c r="R111" i="2"/>
  <c r="P111" i="2"/>
  <c r="S112" i="2"/>
  <c r="O112" i="2"/>
  <c r="I111" i="7"/>
  <c r="H112" i="7"/>
  <c r="D112" i="7"/>
  <c r="E112" i="7" s="1"/>
  <c r="F112" i="7" s="1"/>
  <c r="G112" i="7" s="1"/>
  <c r="O6" i="6"/>
  <c r="D56" i="6"/>
  <c r="D6" i="6"/>
  <c r="O56" i="6"/>
  <c r="C57" i="6"/>
  <c r="D57" i="6" s="1"/>
  <c r="H56" i="6"/>
  <c r="N7" i="7"/>
  <c r="S6" i="7"/>
  <c r="O6" i="7"/>
  <c r="P6" i="7" s="1"/>
  <c r="D56" i="7"/>
  <c r="E56" i="7" s="1"/>
  <c r="H56" i="7"/>
  <c r="N7" i="6"/>
  <c r="S6" i="6"/>
  <c r="H6" i="7"/>
  <c r="D6" i="7"/>
  <c r="E6" i="7" s="1"/>
  <c r="C7" i="6"/>
  <c r="D7" i="6" s="1"/>
  <c r="H6" i="6"/>
  <c r="N57" i="6"/>
  <c r="O57" i="6" s="1"/>
  <c r="S56" i="6"/>
  <c r="F22" i="1"/>
  <c r="U9" i="1"/>
  <c r="U7" i="1"/>
  <c r="T7" i="1"/>
  <c r="U6" i="1"/>
  <c r="T111" i="2" l="1"/>
  <c r="R112" i="2"/>
  <c r="P112" i="2"/>
  <c r="I112" i="7"/>
  <c r="O29" i="6"/>
  <c r="P29" i="6" s="1"/>
  <c r="O41" i="6"/>
  <c r="P41" i="6" s="1"/>
  <c r="O53" i="6"/>
  <c r="P53" i="6" s="1"/>
  <c r="O113" i="6"/>
  <c r="P113" i="6" s="1"/>
  <c r="D38" i="6"/>
  <c r="E38" i="6" s="1"/>
  <c r="D50" i="6"/>
  <c r="E50" i="6" s="1"/>
  <c r="O30" i="6"/>
  <c r="P30" i="6" s="1"/>
  <c r="O42" i="6"/>
  <c r="P42" i="6" s="1"/>
  <c r="O3" i="6"/>
  <c r="P3" i="6" s="1"/>
  <c r="D39" i="6"/>
  <c r="E39" i="6" s="1"/>
  <c r="D51" i="6"/>
  <c r="E51" i="6" s="1"/>
  <c r="O31" i="6"/>
  <c r="P31" i="6" s="1"/>
  <c r="O43" i="6"/>
  <c r="P43" i="6" s="1"/>
  <c r="D28" i="6"/>
  <c r="E28" i="6" s="1"/>
  <c r="D40" i="6"/>
  <c r="E40" i="6" s="1"/>
  <c r="D52" i="6"/>
  <c r="E52" i="6" s="1"/>
  <c r="O32" i="6"/>
  <c r="P32" i="6" s="1"/>
  <c r="O44" i="6"/>
  <c r="P44" i="6" s="1"/>
  <c r="D29" i="6"/>
  <c r="E29" i="6" s="1"/>
  <c r="D41" i="6"/>
  <c r="E41" i="6" s="1"/>
  <c r="D53" i="6"/>
  <c r="E53" i="6" s="1"/>
  <c r="D113" i="6"/>
  <c r="E113" i="6" s="1"/>
  <c r="O33" i="6"/>
  <c r="P33" i="6" s="1"/>
  <c r="O45" i="6"/>
  <c r="P45" i="6" s="1"/>
  <c r="D30" i="6"/>
  <c r="E30" i="6" s="1"/>
  <c r="D42" i="6"/>
  <c r="E42" i="6" s="1"/>
  <c r="O47" i="6"/>
  <c r="P47" i="6" s="1"/>
  <c r="D36" i="6"/>
  <c r="E36" i="6" s="1"/>
  <c r="O49" i="6"/>
  <c r="P49" i="6" s="1"/>
  <c r="D43" i="6"/>
  <c r="E43" i="6" s="1"/>
  <c r="D34" i="6"/>
  <c r="E34" i="6" s="1"/>
  <c r="D35" i="6"/>
  <c r="E35" i="6" s="1"/>
  <c r="O48" i="6"/>
  <c r="P48" i="6" s="1"/>
  <c r="D37" i="6"/>
  <c r="E37" i="6" s="1"/>
  <c r="D3" i="6"/>
  <c r="E3" i="6" s="1"/>
  <c r="O39" i="6"/>
  <c r="P39" i="6" s="1"/>
  <c r="D33" i="6"/>
  <c r="E33" i="6" s="1"/>
  <c r="O28" i="6"/>
  <c r="P28" i="6" s="1"/>
  <c r="O50" i="6"/>
  <c r="P50" i="6" s="1"/>
  <c r="D44" i="6"/>
  <c r="E44" i="6" s="1"/>
  <c r="O38" i="6"/>
  <c r="P38" i="6" s="1"/>
  <c r="D49" i="6"/>
  <c r="E49" i="6" s="1"/>
  <c r="O40" i="6"/>
  <c r="P40" i="6" s="1"/>
  <c r="O46" i="6"/>
  <c r="P46" i="6" s="1"/>
  <c r="O34" i="6"/>
  <c r="P34" i="6" s="1"/>
  <c r="O51" i="6"/>
  <c r="P51" i="6" s="1"/>
  <c r="D45" i="6"/>
  <c r="E45" i="6" s="1"/>
  <c r="O37" i="6"/>
  <c r="P37" i="6" s="1"/>
  <c r="D31" i="6"/>
  <c r="E31" i="6" s="1"/>
  <c r="D48" i="6"/>
  <c r="E48" i="6" s="1"/>
  <c r="O35" i="6"/>
  <c r="P35" i="6" s="1"/>
  <c r="O52" i="6"/>
  <c r="P52" i="6" s="1"/>
  <c r="D46" i="6"/>
  <c r="E46" i="6" s="1"/>
  <c r="D32" i="6"/>
  <c r="E32" i="6" s="1"/>
  <c r="O36" i="6"/>
  <c r="P36" i="6" s="1"/>
  <c r="D47" i="6"/>
  <c r="E47" i="6" s="1"/>
  <c r="E57" i="6"/>
  <c r="E6" i="6"/>
  <c r="P56" i="6"/>
  <c r="E7" i="6"/>
  <c r="P57" i="6"/>
  <c r="P6" i="6"/>
  <c r="E56" i="6"/>
  <c r="O54" i="6"/>
  <c r="P54" i="6" s="1"/>
  <c r="D4" i="6"/>
  <c r="E4" i="6" s="1"/>
  <c r="O4" i="6"/>
  <c r="P4" i="6" s="1"/>
  <c r="D54" i="6"/>
  <c r="E54" i="6" s="1"/>
  <c r="D55" i="6"/>
  <c r="E55" i="6" s="1"/>
  <c r="O5" i="6"/>
  <c r="P5" i="6" s="1"/>
  <c r="O55" i="6"/>
  <c r="P55" i="6" s="1"/>
  <c r="D5" i="6"/>
  <c r="E5" i="6" s="1"/>
  <c r="O7" i="6"/>
  <c r="P7" i="6" s="1"/>
  <c r="C58" i="6"/>
  <c r="D58" i="6" s="1"/>
  <c r="E58" i="6" s="1"/>
  <c r="H57" i="6"/>
  <c r="H57" i="7"/>
  <c r="D57" i="7"/>
  <c r="E57" i="7" s="1"/>
  <c r="C8" i="6"/>
  <c r="D8" i="6" s="1"/>
  <c r="E8" i="6" s="1"/>
  <c r="H7" i="6"/>
  <c r="N58" i="6"/>
  <c r="O58" i="6" s="1"/>
  <c r="P58" i="6" s="1"/>
  <c r="S57" i="6"/>
  <c r="H7" i="7"/>
  <c r="D7" i="7"/>
  <c r="E7" i="7" s="1"/>
  <c r="N8" i="6"/>
  <c r="O8" i="6" s="1"/>
  <c r="P8" i="6" s="1"/>
  <c r="S7" i="6"/>
  <c r="N8" i="7"/>
  <c r="S7" i="7"/>
  <c r="O7" i="7"/>
  <c r="P7" i="7" s="1"/>
  <c r="F23" i="1"/>
  <c r="U11" i="1"/>
  <c r="F36" i="1"/>
  <c r="F40" i="1" s="1"/>
  <c r="T112" i="2" l="1"/>
  <c r="F38" i="1"/>
  <c r="D100" i="2"/>
  <c r="G100" i="2" s="1"/>
  <c r="D103" i="2"/>
  <c r="G103" i="2" s="1"/>
  <c r="D105" i="2"/>
  <c r="G105" i="2" s="1"/>
  <c r="D104" i="2"/>
  <c r="G104" i="2" s="1"/>
  <c r="D112" i="2"/>
  <c r="G112" i="2" s="1"/>
  <c r="D107" i="2"/>
  <c r="G107" i="2" s="1"/>
  <c r="D99" i="2"/>
  <c r="G99" i="2" s="1"/>
  <c r="D111" i="2"/>
  <c r="G111" i="2" s="1"/>
  <c r="D110" i="2"/>
  <c r="G110" i="2" s="1"/>
  <c r="D113" i="2"/>
  <c r="E113" i="2" s="1"/>
  <c r="D102" i="2"/>
  <c r="G102" i="2" s="1"/>
  <c r="D106" i="2"/>
  <c r="G106" i="2" s="1"/>
  <c r="D108" i="2"/>
  <c r="G108" i="2" s="1"/>
  <c r="D109" i="2"/>
  <c r="G109" i="2" s="1"/>
  <c r="D101" i="2"/>
  <c r="G101" i="2" s="1"/>
  <c r="H8" i="7"/>
  <c r="D8" i="7"/>
  <c r="E8" i="7" s="1"/>
  <c r="H58" i="7"/>
  <c r="D58" i="7"/>
  <c r="E58" i="7" s="1"/>
  <c r="N9" i="6"/>
  <c r="O9" i="6" s="1"/>
  <c r="P9" i="6" s="1"/>
  <c r="S8" i="6"/>
  <c r="D3" i="2"/>
  <c r="G3" i="2" s="1"/>
  <c r="N59" i="6"/>
  <c r="O59" i="6" s="1"/>
  <c r="P59" i="6" s="1"/>
  <c r="S58" i="6"/>
  <c r="N9" i="7"/>
  <c r="O8" i="7"/>
  <c r="P8" i="7" s="1"/>
  <c r="S8" i="7"/>
  <c r="C9" i="6"/>
  <c r="D9" i="6" s="1"/>
  <c r="E9" i="6" s="1"/>
  <c r="H8" i="6"/>
  <c r="C59" i="6"/>
  <c r="D59" i="6" s="1"/>
  <c r="E59" i="6" s="1"/>
  <c r="H58" i="6"/>
  <c r="E103" i="2" l="1"/>
  <c r="I103" i="2" s="1"/>
  <c r="E104" i="2"/>
  <c r="I104" i="2" s="1"/>
  <c r="E102" i="2"/>
  <c r="I102" i="2" s="1"/>
  <c r="E105" i="2"/>
  <c r="I105" i="2" s="1"/>
  <c r="E108" i="2"/>
  <c r="I108" i="2" s="1"/>
  <c r="E110" i="2"/>
  <c r="I110" i="2" s="1"/>
  <c r="E107" i="2"/>
  <c r="I107" i="2" s="1"/>
  <c r="E111" i="2"/>
  <c r="I111" i="2" s="1"/>
  <c r="E99" i="2"/>
  <c r="I99" i="2" s="1"/>
  <c r="G113" i="2"/>
  <c r="I113" i="2" s="1"/>
  <c r="F113" i="2"/>
  <c r="E109" i="2"/>
  <c r="I109" i="2" s="1"/>
  <c r="E101" i="2"/>
  <c r="I101" i="2" s="1"/>
  <c r="E106" i="2"/>
  <c r="I106" i="2" s="1"/>
  <c r="E112" i="2"/>
  <c r="I112" i="2" s="1"/>
  <c r="E100" i="2"/>
  <c r="I100" i="2" s="1"/>
  <c r="N60" i="6"/>
  <c r="O60" i="6" s="1"/>
  <c r="P60" i="6" s="1"/>
  <c r="S59" i="6"/>
  <c r="C60" i="6"/>
  <c r="D60" i="6" s="1"/>
  <c r="E60" i="6" s="1"/>
  <c r="H59" i="6"/>
  <c r="N10" i="7"/>
  <c r="O9" i="7"/>
  <c r="P9" i="7" s="1"/>
  <c r="S9" i="7"/>
  <c r="E3" i="2"/>
  <c r="F3" i="2" s="1"/>
  <c r="H9" i="7"/>
  <c r="D9" i="7"/>
  <c r="E9" i="7" s="1"/>
  <c r="N10" i="6"/>
  <c r="O10" i="6" s="1"/>
  <c r="P10" i="6" s="1"/>
  <c r="S9" i="6"/>
  <c r="H59" i="7"/>
  <c r="D59" i="7"/>
  <c r="E59" i="7" s="1"/>
  <c r="C10" i="6"/>
  <c r="D10" i="6" s="1"/>
  <c r="E10" i="6" s="1"/>
  <c r="H9" i="6"/>
  <c r="I3" i="2" l="1"/>
  <c r="N11" i="6"/>
  <c r="O11" i="6" s="1"/>
  <c r="P11" i="6" s="1"/>
  <c r="S10" i="6"/>
  <c r="C11" i="6"/>
  <c r="D11" i="6" s="1"/>
  <c r="E11" i="6" s="1"/>
  <c r="H10" i="6"/>
  <c r="C61" i="6"/>
  <c r="D61" i="6" s="1"/>
  <c r="E61" i="6" s="1"/>
  <c r="H60" i="6"/>
  <c r="D60" i="7"/>
  <c r="E60" i="7" s="1"/>
  <c r="H60" i="7"/>
  <c r="H10" i="7"/>
  <c r="D10" i="7"/>
  <c r="E10" i="7" s="1"/>
  <c r="N11" i="7"/>
  <c r="S10" i="7"/>
  <c r="O10" i="7"/>
  <c r="P10" i="7" s="1"/>
  <c r="N61" i="6"/>
  <c r="O61" i="6" s="1"/>
  <c r="P61" i="6" s="1"/>
  <c r="S60" i="6"/>
  <c r="H61" i="7" l="1"/>
  <c r="D61" i="7"/>
  <c r="E61" i="7" s="1"/>
  <c r="C62" i="6"/>
  <c r="D62" i="6" s="1"/>
  <c r="E62" i="6" s="1"/>
  <c r="H61" i="6"/>
  <c r="N62" i="6"/>
  <c r="O62" i="6" s="1"/>
  <c r="P62" i="6" s="1"/>
  <c r="S61" i="6"/>
  <c r="H11" i="7"/>
  <c r="D11" i="7"/>
  <c r="E11" i="7" s="1"/>
  <c r="N12" i="7"/>
  <c r="S11" i="7"/>
  <c r="O11" i="7"/>
  <c r="P11" i="7" s="1"/>
  <c r="C12" i="6"/>
  <c r="D12" i="6" s="1"/>
  <c r="E12" i="6" s="1"/>
  <c r="H11" i="6"/>
  <c r="N12" i="6"/>
  <c r="O12" i="6" s="1"/>
  <c r="P12" i="6" s="1"/>
  <c r="S11" i="6"/>
  <c r="N63" i="6" l="1"/>
  <c r="O63" i="6" s="1"/>
  <c r="P63" i="6" s="1"/>
  <c r="S62" i="6"/>
  <c r="N13" i="7"/>
  <c r="O12" i="7"/>
  <c r="P12" i="7" s="1"/>
  <c r="S12" i="7"/>
  <c r="D62" i="7"/>
  <c r="E62" i="7" s="1"/>
  <c r="H62" i="7"/>
  <c r="N13" i="6"/>
  <c r="O13" i="6" s="1"/>
  <c r="P13" i="6" s="1"/>
  <c r="S12" i="6"/>
  <c r="D12" i="7"/>
  <c r="E12" i="7" s="1"/>
  <c r="H12" i="7"/>
  <c r="C13" i="6"/>
  <c r="D13" i="6" s="1"/>
  <c r="E13" i="6" s="1"/>
  <c r="H12" i="6"/>
  <c r="C63" i="6"/>
  <c r="D63" i="6" s="1"/>
  <c r="E63" i="6" s="1"/>
  <c r="H62" i="6"/>
  <c r="N14" i="7" l="1"/>
  <c r="O13" i="7"/>
  <c r="P13" i="7" s="1"/>
  <c r="S13" i="7"/>
  <c r="C64" i="6"/>
  <c r="D64" i="6" s="1"/>
  <c r="E64" i="6" s="1"/>
  <c r="H63" i="6"/>
  <c r="C14" i="6"/>
  <c r="D14" i="6" s="1"/>
  <c r="E14" i="6" s="1"/>
  <c r="H13" i="6"/>
  <c r="F13" i="6"/>
  <c r="G13" i="6" s="1"/>
  <c r="H13" i="7"/>
  <c r="D13" i="7"/>
  <c r="E13" i="7" s="1"/>
  <c r="F13" i="7" s="1"/>
  <c r="N64" i="6"/>
  <c r="O64" i="6" s="1"/>
  <c r="P64" i="6" s="1"/>
  <c r="S63" i="6"/>
  <c r="D63" i="7"/>
  <c r="E63" i="7" s="1"/>
  <c r="H63" i="7"/>
  <c r="N14" i="6"/>
  <c r="O14" i="6" s="1"/>
  <c r="P14" i="6" s="1"/>
  <c r="S13" i="6"/>
  <c r="F12" i="7"/>
  <c r="F3" i="7"/>
  <c r="G3" i="7" s="1"/>
  <c r="F4" i="7"/>
  <c r="G4" i="7" s="1"/>
  <c r="F9" i="6"/>
  <c r="G9" i="6" s="1"/>
  <c r="I9" i="6" s="1"/>
  <c r="F10" i="6"/>
  <c r="G10" i="6" s="1"/>
  <c r="I10" i="6" s="1"/>
  <c r="F30" i="6"/>
  <c r="G30" i="6" s="1"/>
  <c r="I30" i="6" s="1"/>
  <c r="F35" i="6"/>
  <c r="G35" i="6" s="1"/>
  <c r="I35" i="6" s="1"/>
  <c r="Q58" i="6"/>
  <c r="R58" i="6" s="1"/>
  <c r="T58" i="6" s="1"/>
  <c r="Q49" i="6"/>
  <c r="R49" i="6" s="1"/>
  <c r="T49" i="6" s="1"/>
  <c r="F43" i="6"/>
  <c r="G43" i="6" s="1"/>
  <c r="I43" i="6" s="1"/>
  <c r="F37" i="6"/>
  <c r="G37" i="6" s="1"/>
  <c r="I37" i="6" s="1"/>
  <c r="Q56" i="6"/>
  <c r="R56" i="6" s="1"/>
  <c r="T56" i="6" s="1"/>
  <c r="F31" i="6"/>
  <c r="G31" i="6" s="1"/>
  <c r="I31" i="6" s="1"/>
  <c r="Q47" i="6"/>
  <c r="R47" i="6" s="1"/>
  <c r="T47" i="6" s="1"/>
  <c r="Q113" i="6"/>
  <c r="R113" i="6" s="1"/>
  <c r="T113" i="6" s="1"/>
  <c r="Q60" i="6"/>
  <c r="R60" i="6" s="1"/>
  <c r="T60" i="6" s="1"/>
  <c r="F5" i="6"/>
  <c r="G5" i="6" s="1"/>
  <c r="I5" i="6" s="1"/>
  <c r="F53" i="6"/>
  <c r="G53" i="6" s="1"/>
  <c r="I53" i="6" s="1"/>
  <c r="F28" i="7"/>
  <c r="F50" i="6"/>
  <c r="G50" i="6" s="1"/>
  <c r="I50" i="6" s="1"/>
  <c r="Q37" i="6"/>
  <c r="R37" i="6" s="1"/>
  <c r="T37" i="6" s="1"/>
  <c r="Q28" i="6"/>
  <c r="R28" i="6" s="1"/>
  <c r="T28" i="6" s="1"/>
  <c r="Q45" i="6"/>
  <c r="R45" i="6" s="1"/>
  <c r="T45" i="6" s="1"/>
  <c r="Q39" i="6"/>
  <c r="R39" i="6" s="1"/>
  <c r="T39" i="6" s="1"/>
  <c r="Q33" i="6"/>
  <c r="R33" i="6" s="1"/>
  <c r="T33" i="6" s="1"/>
  <c r="Q11" i="6"/>
  <c r="R11" i="6" s="1"/>
  <c r="T11" i="6" s="1"/>
  <c r="F11" i="7"/>
  <c r="Q4" i="6"/>
  <c r="R4" i="6" s="1"/>
  <c r="T4" i="6" s="1"/>
  <c r="Q7" i="6"/>
  <c r="R7" i="6" s="1"/>
  <c r="T7" i="6" s="1"/>
  <c r="Q10" i="6"/>
  <c r="R10" i="6" s="1"/>
  <c r="T10" i="6" s="1"/>
  <c r="F55" i="6"/>
  <c r="G55" i="6" s="1"/>
  <c r="I55" i="6" s="1"/>
  <c r="F29" i="6"/>
  <c r="G29" i="6" s="1"/>
  <c r="I29" i="6" s="1"/>
  <c r="F40" i="6"/>
  <c r="G40" i="6" s="1"/>
  <c r="I40" i="6" s="1"/>
  <c r="F34" i="6"/>
  <c r="G34" i="6" s="1"/>
  <c r="I34" i="6" s="1"/>
  <c r="F62" i="6"/>
  <c r="G62" i="6" s="1"/>
  <c r="I62" i="6" s="1"/>
  <c r="Q34" i="6"/>
  <c r="R34" i="6" s="1"/>
  <c r="T34" i="6" s="1"/>
  <c r="F54" i="6"/>
  <c r="G54" i="6" s="1"/>
  <c r="I54" i="6" s="1"/>
  <c r="F42" i="6"/>
  <c r="G42" i="6" s="1"/>
  <c r="I42" i="6" s="1"/>
  <c r="F113" i="6"/>
  <c r="G113" i="6" s="1"/>
  <c r="I113" i="6" s="1"/>
  <c r="Q32" i="6"/>
  <c r="R32" i="6" s="1"/>
  <c r="T32" i="6" s="1"/>
  <c r="F57" i="6"/>
  <c r="G57" i="6" s="1"/>
  <c r="I57" i="6" s="1"/>
  <c r="F8" i="6"/>
  <c r="G8" i="6" s="1"/>
  <c r="I8" i="6" s="1"/>
  <c r="F10" i="7"/>
  <c r="F9" i="7"/>
  <c r="F3" i="6"/>
  <c r="G3" i="6" s="1"/>
  <c r="I3" i="6" s="1"/>
  <c r="F7" i="6"/>
  <c r="G7" i="6" s="1"/>
  <c r="I7" i="6" s="1"/>
  <c r="Q44" i="6"/>
  <c r="R44" i="6" s="1"/>
  <c r="T44" i="6" s="1"/>
  <c r="Q35" i="6"/>
  <c r="R35" i="6" s="1"/>
  <c r="T35" i="6" s="1"/>
  <c r="Q59" i="6"/>
  <c r="R59" i="6" s="1"/>
  <c r="T59" i="6" s="1"/>
  <c r="Q50" i="6"/>
  <c r="R50" i="6" s="1"/>
  <c r="T50" i="6" s="1"/>
  <c r="Q41" i="6"/>
  <c r="R41" i="6" s="1"/>
  <c r="T41" i="6" s="1"/>
  <c r="Q36" i="6"/>
  <c r="R36" i="6" s="1"/>
  <c r="T36" i="6" s="1"/>
  <c r="Q30" i="6"/>
  <c r="R30" i="6" s="1"/>
  <c r="T30" i="6" s="1"/>
  <c r="F8" i="7"/>
  <c r="G8" i="7" s="1"/>
  <c r="Q12" i="6"/>
  <c r="R12" i="6" s="1"/>
  <c r="T12" i="6" s="1"/>
  <c r="F48" i="6"/>
  <c r="G48" i="6" s="1"/>
  <c r="I48" i="6" s="1"/>
  <c r="F49" i="6"/>
  <c r="G49" i="6" s="1"/>
  <c r="I49" i="6" s="1"/>
  <c r="Q57" i="6"/>
  <c r="R57" i="6" s="1"/>
  <c r="T57" i="6" s="1"/>
  <c r="Q51" i="6"/>
  <c r="R51" i="6" s="1"/>
  <c r="T51" i="6" s="1"/>
  <c r="F60" i="6"/>
  <c r="G60" i="6" s="1"/>
  <c r="I60" i="6" s="1"/>
  <c r="F39" i="6"/>
  <c r="G39" i="6" s="1"/>
  <c r="I39" i="6" s="1"/>
  <c r="F33" i="6"/>
  <c r="G33" i="6" s="1"/>
  <c r="I33" i="6" s="1"/>
  <c r="Q54" i="6"/>
  <c r="R54" i="6" s="1"/>
  <c r="T54" i="6" s="1"/>
  <c r="Q48" i="6"/>
  <c r="R48" i="6" s="1"/>
  <c r="T48" i="6" s="1"/>
  <c r="Q42" i="6"/>
  <c r="R42" i="6" s="1"/>
  <c r="T42" i="6" s="1"/>
  <c r="Q55" i="6"/>
  <c r="R55" i="6" s="1"/>
  <c r="T55" i="6" s="1"/>
  <c r="Q46" i="6"/>
  <c r="R46" i="6" s="1"/>
  <c r="T46" i="6" s="1"/>
  <c r="F4" i="6"/>
  <c r="G4" i="6" s="1"/>
  <c r="I4" i="6" s="1"/>
  <c r="F61" i="6"/>
  <c r="G61" i="6" s="1"/>
  <c r="I61" i="6" s="1"/>
  <c r="Q52" i="6"/>
  <c r="R52" i="6" s="1"/>
  <c r="T52" i="6" s="1"/>
  <c r="Q43" i="6"/>
  <c r="R43" i="6" s="1"/>
  <c r="T43" i="6" s="1"/>
  <c r="Q40" i="6"/>
  <c r="R40" i="6" s="1"/>
  <c r="T40" i="6" s="1"/>
  <c r="Q31" i="6"/>
  <c r="R31" i="6" s="1"/>
  <c r="T31" i="6" s="1"/>
  <c r="Q62" i="6"/>
  <c r="R62" i="6" s="1"/>
  <c r="T62" i="6" s="1"/>
  <c r="F52" i="6"/>
  <c r="G52" i="6" s="1"/>
  <c r="I52" i="6" s="1"/>
  <c r="F46" i="6"/>
  <c r="G46" i="6" s="1"/>
  <c r="I46" i="6" s="1"/>
  <c r="F6" i="7"/>
  <c r="G6" i="7" s="1"/>
  <c r="F7" i="7"/>
  <c r="G7" i="7" s="1"/>
  <c r="Q6" i="6"/>
  <c r="R6" i="6" s="1"/>
  <c r="T6" i="6" s="1"/>
  <c r="Q8" i="6"/>
  <c r="R8" i="6" s="1"/>
  <c r="T8" i="6" s="1"/>
  <c r="F36" i="6"/>
  <c r="G36" i="6" s="1"/>
  <c r="I36" i="6" s="1"/>
  <c r="F47" i="6"/>
  <c r="G47" i="6" s="1"/>
  <c r="I47" i="6" s="1"/>
  <c r="F44" i="6"/>
  <c r="G44" i="6" s="1"/>
  <c r="I44" i="6" s="1"/>
  <c r="F38" i="6"/>
  <c r="G38" i="6" s="1"/>
  <c r="I38" i="6" s="1"/>
  <c r="F32" i="6"/>
  <c r="G32" i="6" s="1"/>
  <c r="I32" i="6" s="1"/>
  <c r="F58" i="6"/>
  <c r="G58" i="6" s="1"/>
  <c r="I58" i="6" s="1"/>
  <c r="Q61" i="6"/>
  <c r="R61" i="6" s="1"/>
  <c r="T61" i="6" s="1"/>
  <c r="Q53" i="6"/>
  <c r="R53" i="6" s="1"/>
  <c r="T53" i="6" s="1"/>
  <c r="Q9" i="6"/>
  <c r="R9" i="6" s="1"/>
  <c r="T9" i="6" s="1"/>
  <c r="F6" i="6"/>
  <c r="G6" i="6" s="1"/>
  <c r="I6" i="6" s="1"/>
  <c r="F5" i="7"/>
  <c r="G5" i="7" s="1"/>
  <c r="F11" i="6"/>
  <c r="G11" i="6" s="1"/>
  <c r="I11" i="6" s="1"/>
  <c r="Q3" i="6"/>
  <c r="R3" i="6" s="1"/>
  <c r="T3" i="6" s="1"/>
  <c r="Q5" i="6"/>
  <c r="R5" i="6" s="1"/>
  <c r="T5" i="6" s="1"/>
  <c r="F12" i="6"/>
  <c r="G12" i="6" s="1"/>
  <c r="I12" i="6" s="1"/>
  <c r="F41" i="6"/>
  <c r="G41" i="6" s="1"/>
  <c r="I41" i="6" s="1"/>
  <c r="F56" i="6"/>
  <c r="G56" i="6" s="1"/>
  <c r="I56" i="6" s="1"/>
  <c r="F51" i="6"/>
  <c r="G51" i="6" s="1"/>
  <c r="I51" i="6" s="1"/>
  <c r="F45" i="6"/>
  <c r="G45" i="6" s="1"/>
  <c r="I45" i="6" s="1"/>
  <c r="F59" i="6"/>
  <c r="G59" i="6" s="1"/>
  <c r="I59" i="6" s="1"/>
  <c r="F28" i="6"/>
  <c r="G28" i="6" s="1"/>
  <c r="I28" i="6" s="1"/>
  <c r="Q38" i="6"/>
  <c r="R38" i="6" s="1"/>
  <c r="T38" i="6" s="1"/>
  <c r="Q29" i="6"/>
  <c r="R29" i="6" s="1"/>
  <c r="T29" i="6" s="1"/>
  <c r="G28" i="7" l="1"/>
  <c r="J28" i="7" s="1"/>
  <c r="G12" i="7"/>
  <c r="I12" i="7" s="1"/>
  <c r="Q6" i="7"/>
  <c r="R6" i="7" s="1"/>
  <c r="T6" i="7" s="1"/>
  <c r="G11" i="7"/>
  <c r="J11" i="7" s="1"/>
  <c r="Q5" i="7"/>
  <c r="R5" i="7" s="1"/>
  <c r="T5" i="7" s="1"/>
  <c r="G13" i="7"/>
  <c r="J13" i="7" s="1"/>
  <c r="Q7" i="7"/>
  <c r="R7" i="7" s="1"/>
  <c r="T7" i="7" s="1"/>
  <c r="G9" i="7"/>
  <c r="I9" i="7" s="1"/>
  <c r="Q3" i="7"/>
  <c r="R3" i="7" s="1"/>
  <c r="T3" i="7" s="1"/>
  <c r="G10" i="7"/>
  <c r="I10" i="7" s="1"/>
  <c r="Q4" i="7"/>
  <c r="R4" i="7" s="1"/>
  <c r="T4" i="7" s="1"/>
  <c r="I4" i="7"/>
  <c r="I7" i="7"/>
  <c r="J6" i="7"/>
  <c r="I5" i="7"/>
  <c r="I8" i="7"/>
  <c r="J3" i="7"/>
  <c r="Q63" i="6"/>
  <c r="R63" i="6" s="1"/>
  <c r="T63" i="6" s="1"/>
  <c r="Q13" i="6"/>
  <c r="R13" i="6" s="1"/>
  <c r="T13" i="6" s="1"/>
  <c r="I13" i="6"/>
  <c r="F63" i="6"/>
  <c r="G63" i="6" s="1"/>
  <c r="I63" i="6" s="1"/>
  <c r="H14" i="7"/>
  <c r="D14" i="7"/>
  <c r="N15" i="7"/>
  <c r="O14" i="7"/>
  <c r="P14" i="7" s="1"/>
  <c r="S14" i="7"/>
  <c r="C15" i="6"/>
  <c r="D15" i="6" s="1"/>
  <c r="E15" i="6" s="1"/>
  <c r="H14" i="6"/>
  <c r="D64" i="7"/>
  <c r="H64" i="7"/>
  <c r="N65" i="6"/>
  <c r="O65" i="6" s="1"/>
  <c r="P65" i="6" s="1"/>
  <c r="S64" i="6"/>
  <c r="N15" i="6"/>
  <c r="O15" i="6" s="1"/>
  <c r="P15" i="6" s="1"/>
  <c r="S14" i="6"/>
  <c r="C65" i="6"/>
  <c r="D65" i="6" s="1"/>
  <c r="E65" i="6" s="1"/>
  <c r="H64" i="6"/>
  <c r="J7" i="7"/>
  <c r="J48" i="6"/>
  <c r="J3" i="6"/>
  <c r="J55" i="6"/>
  <c r="J5" i="6"/>
  <c r="J37" i="6"/>
  <c r="J6" i="6"/>
  <c r="J36" i="6"/>
  <c r="J52" i="6"/>
  <c r="J57" i="6"/>
  <c r="J54" i="6"/>
  <c r="J62" i="6"/>
  <c r="J53" i="6"/>
  <c r="J43" i="6"/>
  <c r="J10" i="6"/>
  <c r="J59" i="6"/>
  <c r="J32" i="6"/>
  <c r="J28" i="6"/>
  <c r="J45" i="6"/>
  <c r="J38" i="6"/>
  <c r="J61" i="6"/>
  <c r="J60" i="6"/>
  <c r="J13" i="6"/>
  <c r="J8" i="6"/>
  <c r="J34" i="6"/>
  <c r="J50" i="6"/>
  <c r="J30" i="6"/>
  <c r="J47" i="6"/>
  <c r="J4" i="6"/>
  <c r="J33" i="6"/>
  <c r="J113" i="6"/>
  <c r="J35" i="6"/>
  <c r="J11" i="6"/>
  <c r="J44" i="6"/>
  <c r="J7" i="6"/>
  <c r="J29" i="6"/>
  <c r="J4" i="7"/>
  <c r="J41" i="6"/>
  <c r="J51" i="6"/>
  <c r="J12" i="6"/>
  <c r="J56" i="6"/>
  <c r="J58" i="6"/>
  <c r="J46" i="6"/>
  <c r="J39" i="6"/>
  <c r="J49" i="6"/>
  <c r="J42" i="6"/>
  <c r="J40" i="6"/>
  <c r="J31" i="6"/>
  <c r="I11" i="7" l="1"/>
  <c r="I13" i="7"/>
  <c r="J9" i="7"/>
  <c r="J12" i="7"/>
  <c r="J10" i="7"/>
  <c r="J8" i="7"/>
  <c r="J5" i="7"/>
  <c r="I6" i="7"/>
  <c r="I3" i="7"/>
  <c r="I28" i="7"/>
  <c r="J63" i="6"/>
  <c r="C66" i="6"/>
  <c r="D66" i="6" s="1"/>
  <c r="E66" i="6" s="1"/>
  <c r="H65" i="6"/>
  <c r="E14" i="7"/>
  <c r="F14" i="7" s="1"/>
  <c r="E64" i="7"/>
  <c r="F14" i="6"/>
  <c r="G14" i="6" s="1"/>
  <c r="D15" i="7"/>
  <c r="H15" i="7"/>
  <c r="H65" i="7"/>
  <c r="D65" i="7"/>
  <c r="Q14" i="6"/>
  <c r="R14" i="6" s="1"/>
  <c r="T14" i="6" s="1"/>
  <c r="Q64" i="6"/>
  <c r="R64" i="6" s="1"/>
  <c r="T64" i="6" s="1"/>
  <c r="C16" i="6"/>
  <c r="D16" i="6" s="1"/>
  <c r="E16" i="6" s="1"/>
  <c r="H15" i="6"/>
  <c r="N66" i="6"/>
  <c r="O66" i="6" s="1"/>
  <c r="P66" i="6" s="1"/>
  <c r="S65" i="6"/>
  <c r="F64" i="6"/>
  <c r="G64" i="6" s="1"/>
  <c r="N16" i="6"/>
  <c r="O16" i="6" s="1"/>
  <c r="P16" i="6" s="1"/>
  <c r="S15" i="6"/>
  <c r="N16" i="7"/>
  <c r="S15" i="7"/>
  <c r="O15" i="7"/>
  <c r="P15" i="7" s="1"/>
  <c r="G14" i="7" l="1"/>
  <c r="I14" i="7" s="1"/>
  <c r="Q8" i="7"/>
  <c r="R8" i="7" s="1"/>
  <c r="T8" i="7" s="1"/>
  <c r="F29" i="7"/>
  <c r="G29" i="7" s="1"/>
  <c r="N17" i="6"/>
  <c r="O17" i="6" s="1"/>
  <c r="P17" i="6" s="1"/>
  <c r="S16" i="6"/>
  <c r="Q65" i="6"/>
  <c r="R65" i="6" s="1"/>
  <c r="T65" i="6" s="1"/>
  <c r="C17" i="6"/>
  <c r="D17" i="6" s="1"/>
  <c r="E17" i="6" s="1"/>
  <c r="H16" i="6"/>
  <c r="F65" i="6"/>
  <c r="G65" i="6" s="1"/>
  <c r="E65" i="7"/>
  <c r="N67" i="6"/>
  <c r="O67" i="6" s="1"/>
  <c r="P67" i="6" s="1"/>
  <c r="S66" i="6"/>
  <c r="C67" i="6"/>
  <c r="D67" i="6" s="1"/>
  <c r="E67" i="6" s="1"/>
  <c r="H66" i="6"/>
  <c r="H66" i="7"/>
  <c r="D66" i="7"/>
  <c r="I14" i="6"/>
  <c r="J14" i="6"/>
  <c r="E15" i="7"/>
  <c r="F15" i="7" s="1"/>
  <c r="H16" i="7"/>
  <c r="D16" i="7"/>
  <c r="I64" i="6"/>
  <c r="J64" i="6"/>
  <c r="Q15" i="6"/>
  <c r="R15" i="6" s="1"/>
  <c r="T15" i="6" s="1"/>
  <c r="F15" i="6"/>
  <c r="G15" i="6" s="1"/>
  <c r="N17" i="7"/>
  <c r="O16" i="7"/>
  <c r="P16" i="7" s="1"/>
  <c r="S16" i="7"/>
  <c r="J14" i="7" l="1"/>
  <c r="F30" i="7"/>
  <c r="G30" i="7" s="1"/>
  <c r="G15" i="7"/>
  <c r="I15" i="7" s="1"/>
  <c r="Q9" i="7"/>
  <c r="R9" i="7" s="1"/>
  <c r="T9" i="7" s="1"/>
  <c r="I65" i="6"/>
  <c r="J65" i="6"/>
  <c r="E66" i="7"/>
  <c r="N18" i="6"/>
  <c r="O18" i="6" s="1"/>
  <c r="P18" i="6" s="1"/>
  <c r="S17" i="6"/>
  <c r="E16" i="7"/>
  <c r="F16" i="7" s="1"/>
  <c r="F16" i="6"/>
  <c r="G16" i="6" s="1"/>
  <c r="D67" i="7"/>
  <c r="H67" i="7"/>
  <c r="H17" i="7"/>
  <c r="D17" i="7"/>
  <c r="Q66" i="6"/>
  <c r="R66" i="6" s="1"/>
  <c r="T66" i="6" s="1"/>
  <c r="C18" i="6"/>
  <c r="D18" i="6" s="1"/>
  <c r="E18" i="6" s="1"/>
  <c r="H17" i="6"/>
  <c r="F66" i="6"/>
  <c r="G66" i="6" s="1"/>
  <c r="N68" i="6"/>
  <c r="O68" i="6" s="1"/>
  <c r="P68" i="6" s="1"/>
  <c r="S67" i="6"/>
  <c r="N18" i="7"/>
  <c r="O17" i="7"/>
  <c r="P17" i="7" s="1"/>
  <c r="S17" i="7"/>
  <c r="I15" i="6"/>
  <c r="J15" i="6"/>
  <c r="C68" i="6"/>
  <c r="D68" i="6" s="1"/>
  <c r="E68" i="6" s="1"/>
  <c r="H67" i="6"/>
  <c r="Q16" i="6"/>
  <c r="R16" i="6" s="1"/>
  <c r="T16" i="6" s="1"/>
  <c r="G16" i="7" l="1"/>
  <c r="J16" i="7" s="1"/>
  <c r="Q10" i="7"/>
  <c r="R10" i="7" s="1"/>
  <c r="T10" i="7" s="1"/>
  <c r="I29" i="7"/>
  <c r="J29" i="7"/>
  <c r="J15" i="7"/>
  <c r="F31" i="7"/>
  <c r="G31" i="7" s="1"/>
  <c r="I66" i="6"/>
  <c r="J66" i="6"/>
  <c r="I16" i="6"/>
  <c r="J16" i="6"/>
  <c r="F17" i="6"/>
  <c r="G17" i="6" s="1"/>
  <c r="N19" i="7"/>
  <c r="S18" i="7"/>
  <c r="O18" i="7"/>
  <c r="P18" i="7" s="1"/>
  <c r="C19" i="6"/>
  <c r="D19" i="6" s="1"/>
  <c r="E19" i="6" s="1"/>
  <c r="H18" i="6"/>
  <c r="H18" i="7"/>
  <c r="D18" i="7"/>
  <c r="Q17" i="6"/>
  <c r="R17" i="6" s="1"/>
  <c r="T17" i="6" s="1"/>
  <c r="E17" i="7"/>
  <c r="F17" i="7" s="1"/>
  <c r="N19" i="6"/>
  <c r="O19" i="6" s="1"/>
  <c r="P19" i="6" s="1"/>
  <c r="S18" i="6"/>
  <c r="N69" i="6"/>
  <c r="O69" i="6" s="1"/>
  <c r="P69" i="6" s="1"/>
  <c r="S68" i="6"/>
  <c r="E67" i="7"/>
  <c r="Q67" i="6"/>
  <c r="R67" i="6" s="1"/>
  <c r="T67" i="6" s="1"/>
  <c r="F67" i="6"/>
  <c r="G67" i="6" s="1"/>
  <c r="C69" i="6"/>
  <c r="D69" i="6" s="1"/>
  <c r="E69" i="6" s="1"/>
  <c r="H68" i="6"/>
  <c r="H68" i="7"/>
  <c r="D68" i="7"/>
  <c r="I16" i="7" l="1"/>
  <c r="F32" i="7"/>
  <c r="G32" i="7" s="1"/>
  <c r="J30" i="7"/>
  <c r="I30" i="7"/>
  <c r="G17" i="7"/>
  <c r="J17" i="7" s="1"/>
  <c r="Q11" i="7"/>
  <c r="R11" i="7" s="1"/>
  <c r="T11" i="7" s="1"/>
  <c r="C20" i="6"/>
  <c r="D20" i="6" s="1"/>
  <c r="E20" i="6" s="1"/>
  <c r="H19" i="6"/>
  <c r="H69" i="7"/>
  <c r="D69" i="7"/>
  <c r="Q68" i="6"/>
  <c r="R68" i="6" s="1"/>
  <c r="T68" i="6" s="1"/>
  <c r="E18" i="7"/>
  <c r="F18" i="7" s="1"/>
  <c r="N20" i="7"/>
  <c r="S19" i="7"/>
  <c r="O19" i="7"/>
  <c r="P19" i="7" s="1"/>
  <c r="I17" i="6"/>
  <c r="J17" i="6"/>
  <c r="N70" i="6"/>
  <c r="O70" i="6" s="1"/>
  <c r="P70" i="6" s="1"/>
  <c r="S69" i="6"/>
  <c r="Q18" i="6"/>
  <c r="R18" i="6" s="1"/>
  <c r="T18" i="6" s="1"/>
  <c r="N20" i="6"/>
  <c r="O20" i="6" s="1"/>
  <c r="P20" i="6" s="1"/>
  <c r="S19" i="6"/>
  <c r="H19" i="7"/>
  <c r="D19" i="7"/>
  <c r="I67" i="6"/>
  <c r="J67" i="6"/>
  <c r="F68" i="6"/>
  <c r="G68" i="6" s="1"/>
  <c r="F18" i="6"/>
  <c r="G18" i="6" s="1"/>
  <c r="E68" i="7"/>
  <c r="C70" i="6"/>
  <c r="D70" i="6" s="1"/>
  <c r="E70" i="6" s="1"/>
  <c r="H69" i="6"/>
  <c r="I17" i="7" l="1"/>
  <c r="G18" i="7"/>
  <c r="J18" i="7" s="1"/>
  <c r="Q12" i="7"/>
  <c r="R12" i="7" s="1"/>
  <c r="T12" i="7" s="1"/>
  <c r="I31" i="7"/>
  <c r="J31" i="7"/>
  <c r="F33" i="7"/>
  <c r="G33" i="7" s="1"/>
  <c r="I68" i="6"/>
  <c r="J68" i="6"/>
  <c r="E19" i="7"/>
  <c r="F19" i="7" s="1"/>
  <c r="N71" i="6"/>
  <c r="O71" i="6" s="1"/>
  <c r="P71" i="6" s="1"/>
  <c r="S70" i="6"/>
  <c r="F69" i="6"/>
  <c r="G69" i="6" s="1"/>
  <c r="D20" i="7"/>
  <c r="H20" i="7"/>
  <c r="Q19" i="6"/>
  <c r="R19" i="6" s="1"/>
  <c r="T19" i="6" s="1"/>
  <c r="N21" i="7"/>
  <c r="O20" i="7"/>
  <c r="P20" i="7" s="1"/>
  <c r="S20" i="7"/>
  <c r="E69" i="7"/>
  <c r="F19" i="6"/>
  <c r="G19" i="6" s="1"/>
  <c r="C71" i="6"/>
  <c r="D71" i="6" s="1"/>
  <c r="E71" i="6" s="1"/>
  <c r="H70" i="6"/>
  <c r="N21" i="6"/>
  <c r="O21" i="6" s="1"/>
  <c r="P21" i="6" s="1"/>
  <c r="S20" i="6"/>
  <c r="D70" i="7"/>
  <c r="H70" i="7"/>
  <c r="C21" i="6"/>
  <c r="D21" i="6" s="1"/>
  <c r="E21" i="6" s="1"/>
  <c r="H20" i="6"/>
  <c r="I18" i="6"/>
  <c r="J18" i="6"/>
  <c r="Q69" i="6"/>
  <c r="R69" i="6" s="1"/>
  <c r="T69" i="6" s="1"/>
  <c r="I18" i="7" l="1"/>
  <c r="G19" i="7"/>
  <c r="I19" i="7" s="1"/>
  <c r="Q13" i="7"/>
  <c r="R13" i="7" s="1"/>
  <c r="T13" i="7" s="1"/>
  <c r="I32" i="7"/>
  <c r="J32" i="7"/>
  <c r="F34" i="7"/>
  <c r="G34" i="7" s="1"/>
  <c r="I19" i="6"/>
  <c r="J19" i="6"/>
  <c r="E70" i="7"/>
  <c r="Q20" i="6"/>
  <c r="R20" i="6" s="1"/>
  <c r="T20" i="6" s="1"/>
  <c r="H71" i="7"/>
  <c r="D71" i="7"/>
  <c r="N22" i="7"/>
  <c r="S21" i="7"/>
  <c r="O21" i="7"/>
  <c r="P21" i="7" s="1"/>
  <c r="N22" i="6"/>
  <c r="O22" i="6" s="1"/>
  <c r="P22" i="6" s="1"/>
  <c r="S21" i="6"/>
  <c r="E20" i="7"/>
  <c r="F20" i="7" s="1"/>
  <c r="H21" i="7"/>
  <c r="D21" i="7"/>
  <c r="F20" i="6"/>
  <c r="G20" i="6" s="1"/>
  <c r="Q70" i="6"/>
  <c r="R70" i="6" s="1"/>
  <c r="T70" i="6" s="1"/>
  <c r="C22" i="6"/>
  <c r="D22" i="6" s="1"/>
  <c r="E22" i="6" s="1"/>
  <c r="H21" i="6"/>
  <c r="F70" i="6"/>
  <c r="G70" i="6" s="1"/>
  <c r="I69" i="6"/>
  <c r="J69" i="6"/>
  <c r="C72" i="6"/>
  <c r="D72" i="6" s="1"/>
  <c r="E72" i="6" s="1"/>
  <c r="H71" i="6"/>
  <c r="N72" i="6"/>
  <c r="O72" i="6" s="1"/>
  <c r="P72" i="6" s="1"/>
  <c r="S71" i="6"/>
  <c r="J19" i="7" l="1"/>
  <c r="F35" i="7"/>
  <c r="G35" i="7" s="1"/>
  <c r="I33" i="7"/>
  <c r="J33" i="7"/>
  <c r="G20" i="7"/>
  <c r="I20" i="7" s="1"/>
  <c r="Q14" i="7"/>
  <c r="R14" i="7" s="1"/>
  <c r="T14" i="7" s="1"/>
  <c r="I70" i="6"/>
  <c r="J70" i="6"/>
  <c r="Q21" i="6"/>
  <c r="R21" i="6" s="1"/>
  <c r="T21" i="6" s="1"/>
  <c r="N23" i="7"/>
  <c r="S22" i="7"/>
  <c r="O22" i="7"/>
  <c r="P22" i="7" s="1"/>
  <c r="I20" i="6"/>
  <c r="J20" i="6"/>
  <c r="D22" i="7"/>
  <c r="H22" i="7"/>
  <c r="N23" i="6"/>
  <c r="O23" i="6" s="1"/>
  <c r="P23" i="6" s="1"/>
  <c r="S22" i="6"/>
  <c r="E71" i="7"/>
  <c r="Q71" i="6"/>
  <c r="R71" i="6" s="1"/>
  <c r="T71" i="6" s="1"/>
  <c r="H72" i="7"/>
  <c r="D72" i="7"/>
  <c r="N73" i="6"/>
  <c r="O73" i="6" s="1"/>
  <c r="P73" i="6" s="1"/>
  <c r="S72" i="6"/>
  <c r="F71" i="6"/>
  <c r="G71" i="6" s="1"/>
  <c r="F21" i="6"/>
  <c r="G21" i="6" s="1"/>
  <c r="C73" i="6"/>
  <c r="D73" i="6" s="1"/>
  <c r="E73" i="6" s="1"/>
  <c r="H72" i="6"/>
  <c r="C23" i="6"/>
  <c r="D23" i="6" s="1"/>
  <c r="E23" i="6" s="1"/>
  <c r="H22" i="6"/>
  <c r="E21" i="7"/>
  <c r="F21" i="7" s="1"/>
  <c r="J20" i="7" l="1"/>
  <c r="G21" i="7"/>
  <c r="I21" i="7" s="1"/>
  <c r="Q15" i="7"/>
  <c r="R15" i="7" s="1"/>
  <c r="T15" i="7" s="1"/>
  <c r="I34" i="7"/>
  <c r="J34" i="7"/>
  <c r="Q28" i="7"/>
  <c r="R28" i="7" s="1"/>
  <c r="T28" i="7" s="1"/>
  <c r="I35" i="7"/>
  <c r="J35" i="7"/>
  <c r="F36" i="7"/>
  <c r="G36" i="7" s="1"/>
  <c r="F22" i="6"/>
  <c r="G22" i="6" s="1"/>
  <c r="N74" i="6"/>
  <c r="O74" i="6" s="1"/>
  <c r="P74" i="6" s="1"/>
  <c r="S73" i="6"/>
  <c r="N24" i="6"/>
  <c r="O24" i="6" s="1"/>
  <c r="P24" i="6" s="1"/>
  <c r="S23" i="6"/>
  <c r="E22" i="7"/>
  <c r="F22" i="7" s="1"/>
  <c r="D23" i="7"/>
  <c r="H23" i="7"/>
  <c r="Q22" i="7"/>
  <c r="R22" i="7" s="1"/>
  <c r="C24" i="6"/>
  <c r="D24" i="6" s="1"/>
  <c r="E24" i="6" s="1"/>
  <c r="H23" i="6"/>
  <c r="F72" i="6"/>
  <c r="G72" i="6" s="1"/>
  <c r="I71" i="6"/>
  <c r="J71" i="6"/>
  <c r="E72" i="7"/>
  <c r="N24" i="7"/>
  <c r="S23" i="7"/>
  <c r="O23" i="7"/>
  <c r="P23" i="7" s="1"/>
  <c r="C74" i="6"/>
  <c r="D74" i="6" s="1"/>
  <c r="E74" i="6" s="1"/>
  <c r="H73" i="6"/>
  <c r="I21" i="6"/>
  <c r="J21" i="6"/>
  <c r="H73" i="7"/>
  <c r="D73" i="7"/>
  <c r="Q22" i="6"/>
  <c r="R22" i="6" s="1"/>
  <c r="T22" i="6" s="1"/>
  <c r="Q72" i="6"/>
  <c r="R72" i="6" s="1"/>
  <c r="T72" i="6" s="1"/>
  <c r="J21" i="7" l="1"/>
  <c r="G22" i="7"/>
  <c r="I22" i="7" s="1"/>
  <c r="Q16" i="7"/>
  <c r="R16" i="7" s="1"/>
  <c r="T16" i="7" s="1"/>
  <c r="Q29" i="7"/>
  <c r="R29" i="7" s="1"/>
  <c r="T29" i="7" s="1"/>
  <c r="F37" i="7"/>
  <c r="G37" i="7" s="1"/>
  <c r="I36" i="7"/>
  <c r="J36" i="7"/>
  <c r="T22" i="7"/>
  <c r="I22" i="6"/>
  <c r="J22" i="6"/>
  <c r="I72" i="6"/>
  <c r="J72" i="6"/>
  <c r="F23" i="6"/>
  <c r="G23" i="6" s="1"/>
  <c r="E73" i="7"/>
  <c r="F73" i="6"/>
  <c r="G73" i="6" s="1"/>
  <c r="C25" i="6"/>
  <c r="D25" i="6" s="1"/>
  <c r="E25" i="6" s="1"/>
  <c r="H24" i="6"/>
  <c r="E23" i="7"/>
  <c r="F23" i="7" s="1"/>
  <c r="H24" i="7"/>
  <c r="D24" i="7"/>
  <c r="H74" i="7"/>
  <c r="D74" i="7"/>
  <c r="C75" i="6"/>
  <c r="D75" i="6" s="1"/>
  <c r="E75" i="6" s="1"/>
  <c r="H74" i="6"/>
  <c r="Q73" i="6"/>
  <c r="R73" i="6" s="1"/>
  <c r="T73" i="6" s="1"/>
  <c r="Q23" i="7"/>
  <c r="R23" i="7" s="1"/>
  <c r="Q23" i="6"/>
  <c r="R23" i="6" s="1"/>
  <c r="T23" i="6" s="1"/>
  <c r="N75" i="6"/>
  <c r="O75" i="6" s="1"/>
  <c r="P75" i="6" s="1"/>
  <c r="S74" i="6"/>
  <c r="N25" i="7"/>
  <c r="O24" i="7"/>
  <c r="P24" i="7" s="1"/>
  <c r="S24" i="7"/>
  <c r="N25" i="6"/>
  <c r="O25" i="6" s="1"/>
  <c r="P25" i="6" s="1"/>
  <c r="S24" i="6"/>
  <c r="J22" i="7" l="1"/>
  <c r="I37" i="7"/>
  <c r="J37" i="7"/>
  <c r="F38" i="7"/>
  <c r="G38" i="7" s="1"/>
  <c r="Q30" i="7"/>
  <c r="R30" i="7" s="1"/>
  <c r="T30" i="7" s="1"/>
  <c r="G23" i="7"/>
  <c r="J23" i="7" s="1"/>
  <c r="Q17" i="7"/>
  <c r="R17" i="7" s="1"/>
  <c r="T17" i="7" s="1"/>
  <c r="T23" i="7"/>
  <c r="I73" i="6"/>
  <c r="J73" i="6"/>
  <c r="E74" i="7"/>
  <c r="Q74" i="6"/>
  <c r="R74" i="6" s="1"/>
  <c r="T74" i="6" s="1"/>
  <c r="E24" i="7"/>
  <c r="F24" i="7" s="1"/>
  <c r="N76" i="6"/>
  <c r="O76" i="6" s="1"/>
  <c r="P76" i="6" s="1"/>
  <c r="S75" i="6"/>
  <c r="H75" i="7"/>
  <c r="D75" i="7"/>
  <c r="F24" i="6"/>
  <c r="G24" i="6" s="1"/>
  <c r="I23" i="6"/>
  <c r="J23" i="6"/>
  <c r="Q24" i="6"/>
  <c r="R24" i="6" s="1"/>
  <c r="T24" i="6" s="1"/>
  <c r="H25" i="7"/>
  <c r="D25" i="7"/>
  <c r="C26" i="6"/>
  <c r="D26" i="6" s="1"/>
  <c r="E26" i="6" s="1"/>
  <c r="H25" i="6"/>
  <c r="N26" i="6"/>
  <c r="O26" i="6" s="1"/>
  <c r="P26" i="6" s="1"/>
  <c r="S25" i="6"/>
  <c r="F74" i="6"/>
  <c r="G74" i="6" s="1"/>
  <c r="Q24" i="7"/>
  <c r="R24" i="7" s="1"/>
  <c r="N26" i="7"/>
  <c r="S25" i="7"/>
  <c r="O25" i="7"/>
  <c r="P25" i="7" s="1"/>
  <c r="C76" i="6"/>
  <c r="D76" i="6" s="1"/>
  <c r="E76" i="6" s="1"/>
  <c r="H75" i="6"/>
  <c r="Q31" i="7" l="1"/>
  <c r="R31" i="7" s="1"/>
  <c r="T31" i="7" s="1"/>
  <c r="G24" i="7"/>
  <c r="I24" i="7" s="1"/>
  <c r="Q18" i="7"/>
  <c r="R18" i="7" s="1"/>
  <c r="T18" i="7" s="1"/>
  <c r="J38" i="7"/>
  <c r="I38" i="7"/>
  <c r="F39" i="7"/>
  <c r="G39" i="7" s="1"/>
  <c r="I23" i="7"/>
  <c r="T24" i="7"/>
  <c r="C77" i="6"/>
  <c r="D77" i="6" s="1"/>
  <c r="E77" i="6" s="1"/>
  <c r="H76" i="6"/>
  <c r="D26" i="7"/>
  <c r="H26" i="7"/>
  <c r="N77" i="6"/>
  <c r="O77" i="6" s="1"/>
  <c r="P77" i="6" s="1"/>
  <c r="S76" i="6"/>
  <c r="N27" i="6"/>
  <c r="O27" i="6" s="1"/>
  <c r="P27" i="6" s="1"/>
  <c r="S26" i="6"/>
  <c r="F25" i="6"/>
  <c r="G25" i="6" s="1"/>
  <c r="E75" i="7"/>
  <c r="C27" i="6"/>
  <c r="D27" i="6" s="1"/>
  <c r="E27" i="6" s="1"/>
  <c r="H26" i="6"/>
  <c r="D76" i="7"/>
  <c r="H76" i="7"/>
  <c r="Q25" i="7"/>
  <c r="R25" i="7" s="1"/>
  <c r="I24" i="6"/>
  <c r="J24" i="6"/>
  <c r="I74" i="6"/>
  <c r="J74" i="6"/>
  <c r="F75" i="6"/>
  <c r="G75" i="6" s="1"/>
  <c r="N27" i="7"/>
  <c r="S26" i="7"/>
  <c r="O26" i="7"/>
  <c r="P26" i="7" s="1"/>
  <c r="E25" i="7"/>
  <c r="F25" i="7" s="1"/>
  <c r="Q75" i="6"/>
  <c r="R75" i="6" s="1"/>
  <c r="T75" i="6" s="1"/>
  <c r="Q25" i="6"/>
  <c r="R25" i="6" s="1"/>
  <c r="T25" i="6" s="1"/>
  <c r="J24" i="7" l="1"/>
  <c r="F40" i="7"/>
  <c r="G40" i="7" s="1"/>
  <c r="J39" i="7"/>
  <c r="I39" i="7"/>
  <c r="G25" i="7"/>
  <c r="I25" i="7" s="1"/>
  <c r="Q19" i="7"/>
  <c r="R19" i="7" s="1"/>
  <c r="T19" i="7" s="1"/>
  <c r="Q32" i="7"/>
  <c r="R32" i="7" s="1"/>
  <c r="T32" i="7" s="1"/>
  <c r="T25" i="7"/>
  <c r="I25" i="6"/>
  <c r="J25" i="6"/>
  <c r="E76" i="7"/>
  <c r="F26" i="6"/>
  <c r="G26" i="6" s="1"/>
  <c r="Q26" i="7"/>
  <c r="R26" i="7" s="1"/>
  <c r="H77" i="7"/>
  <c r="D77" i="7"/>
  <c r="Q76" i="6"/>
  <c r="R76" i="6" s="1"/>
  <c r="T76" i="6" s="1"/>
  <c r="F76" i="6"/>
  <c r="G76" i="6" s="1"/>
  <c r="H27" i="6"/>
  <c r="Q26" i="6"/>
  <c r="R26" i="6" s="1"/>
  <c r="T26" i="6" s="1"/>
  <c r="N78" i="6"/>
  <c r="O78" i="6" s="1"/>
  <c r="P78" i="6" s="1"/>
  <c r="S77" i="6"/>
  <c r="C78" i="6"/>
  <c r="D78" i="6" s="1"/>
  <c r="E78" i="6" s="1"/>
  <c r="H77" i="6"/>
  <c r="S27" i="7"/>
  <c r="O27" i="7"/>
  <c r="P27" i="7" s="1"/>
  <c r="S27" i="6"/>
  <c r="I75" i="6"/>
  <c r="J75" i="6"/>
  <c r="E26" i="7"/>
  <c r="F26" i="7" s="1"/>
  <c r="H27" i="7"/>
  <c r="D27" i="7"/>
  <c r="Q33" i="7" l="1"/>
  <c r="R33" i="7" s="1"/>
  <c r="T33" i="7" s="1"/>
  <c r="J25" i="7"/>
  <c r="G26" i="7"/>
  <c r="I26" i="7" s="1"/>
  <c r="Q20" i="7"/>
  <c r="R20" i="7" s="1"/>
  <c r="T20" i="7" s="1"/>
  <c r="I40" i="7"/>
  <c r="J40" i="7"/>
  <c r="F41" i="7"/>
  <c r="G41" i="7" s="1"/>
  <c r="T26" i="7"/>
  <c r="I26" i="6"/>
  <c r="J26" i="6"/>
  <c r="I76" i="6"/>
  <c r="J76" i="6"/>
  <c r="Q27" i="6"/>
  <c r="R27" i="6" s="1"/>
  <c r="T27" i="6" s="1"/>
  <c r="C79" i="6"/>
  <c r="D79" i="6" s="1"/>
  <c r="E79" i="6" s="1"/>
  <c r="H78" i="6"/>
  <c r="E27" i="7"/>
  <c r="F27" i="7" s="1"/>
  <c r="Q77" i="6"/>
  <c r="R77" i="6" s="1"/>
  <c r="T77" i="6" s="1"/>
  <c r="N79" i="6"/>
  <c r="O79" i="6" s="1"/>
  <c r="P79" i="6" s="1"/>
  <c r="S78" i="6"/>
  <c r="Q27" i="7"/>
  <c r="R27" i="7" s="1"/>
  <c r="E77" i="7"/>
  <c r="F77" i="6"/>
  <c r="G77" i="6" s="1"/>
  <c r="F27" i="6"/>
  <c r="G27" i="6" s="1"/>
  <c r="D78" i="7"/>
  <c r="H78" i="7"/>
  <c r="I41" i="7" l="1"/>
  <c r="J41" i="7"/>
  <c r="G27" i="7"/>
  <c r="I27" i="7" s="1"/>
  <c r="Q21" i="7"/>
  <c r="R21" i="7" s="1"/>
  <c r="T21" i="7" s="1"/>
  <c r="J26" i="7"/>
  <c r="Q34" i="7"/>
  <c r="R34" i="7" s="1"/>
  <c r="T34" i="7" s="1"/>
  <c r="F42" i="7"/>
  <c r="G42" i="7" s="1"/>
  <c r="T27" i="7"/>
  <c r="Q78" i="6"/>
  <c r="R78" i="6" s="1"/>
  <c r="T78" i="6" s="1"/>
  <c r="F78" i="6"/>
  <c r="G78" i="6" s="1"/>
  <c r="I27" i="6"/>
  <c r="J27" i="6"/>
  <c r="N80" i="6"/>
  <c r="O80" i="6" s="1"/>
  <c r="P80" i="6" s="1"/>
  <c r="S79" i="6"/>
  <c r="C80" i="6"/>
  <c r="D80" i="6" s="1"/>
  <c r="E80" i="6" s="1"/>
  <c r="H79" i="6"/>
  <c r="I77" i="6"/>
  <c r="J77" i="6"/>
  <c r="E78" i="7"/>
  <c r="F78" i="7" s="1"/>
  <c r="G78" i="7" s="1"/>
  <c r="J27" i="7" l="1"/>
  <c r="Q35" i="7"/>
  <c r="R35" i="7" s="1"/>
  <c r="T35" i="7" s="1"/>
  <c r="F43" i="7"/>
  <c r="G43" i="7" s="1"/>
  <c r="I42" i="7"/>
  <c r="J42" i="7"/>
  <c r="I78" i="7"/>
  <c r="J78" i="7"/>
  <c r="F79" i="6"/>
  <c r="G79" i="6" s="1"/>
  <c r="N81" i="6"/>
  <c r="O81" i="6" s="1"/>
  <c r="P81" i="6" s="1"/>
  <c r="S80" i="6"/>
  <c r="C81" i="6"/>
  <c r="D81" i="6" s="1"/>
  <c r="E81" i="6" s="1"/>
  <c r="H80" i="6"/>
  <c r="I78" i="6"/>
  <c r="J78" i="6"/>
  <c r="Q79" i="6"/>
  <c r="R79" i="6" s="1"/>
  <c r="T79" i="6" s="1"/>
  <c r="J43" i="7" l="1"/>
  <c r="I43" i="7"/>
  <c r="F44" i="7"/>
  <c r="G44" i="7" s="1"/>
  <c r="Q36" i="7"/>
  <c r="R36" i="7" s="1"/>
  <c r="T36" i="7" s="1"/>
  <c r="N82" i="6"/>
  <c r="O82" i="6" s="1"/>
  <c r="P82" i="6" s="1"/>
  <c r="S81" i="6"/>
  <c r="C82" i="6"/>
  <c r="D82" i="6" s="1"/>
  <c r="E82" i="6" s="1"/>
  <c r="H81" i="6"/>
  <c r="I79" i="6"/>
  <c r="J79" i="6"/>
  <c r="Q80" i="6"/>
  <c r="R80" i="6" s="1"/>
  <c r="T80" i="6" s="1"/>
  <c r="F80" i="6"/>
  <c r="G80" i="6" s="1"/>
  <c r="Q37" i="7" l="1"/>
  <c r="R37" i="7" s="1"/>
  <c r="T37" i="7" s="1"/>
  <c r="F45" i="7"/>
  <c r="G45" i="7" s="1"/>
  <c r="I44" i="7"/>
  <c r="J44" i="7"/>
  <c r="C83" i="6"/>
  <c r="D83" i="6" s="1"/>
  <c r="E83" i="6" s="1"/>
  <c r="H82" i="6"/>
  <c r="Q81" i="6"/>
  <c r="R81" i="6" s="1"/>
  <c r="T81" i="6" s="1"/>
  <c r="N83" i="6"/>
  <c r="O83" i="6" s="1"/>
  <c r="P83" i="6" s="1"/>
  <c r="S82" i="6"/>
  <c r="I80" i="6"/>
  <c r="J80" i="6"/>
  <c r="F81" i="6"/>
  <c r="G81" i="6" s="1"/>
  <c r="J45" i="7" l="1"/>
  <c r="I45" i="7"/>
  <c r="F46" i="7"/>
  <c r="G46" i="7" s="1"/>
  <c r="Q38" i="7"/>
  <c r="R38" i="7" s="1"/>
  <c r="T38" i="7" s="1"/>
  <c r="I81" i="6"/>
  <c r="J81" i="6"/>
  <c r="F82" i="6"/>
  <c r="G82" i="6" s="1"/>
  <c r="C84" i="6"/>
  <c r="D84" i="6" s="1"/>
  <c r="E84" i="6" s="1"/>
  <c r="H83" i="6"/>
  <c r="Q82" i="6"/>
  <c r="R82" i="6" s="1"/>
  <c r="T82" i="6" s="1"/>
  <c r="N84" i="6"/>
  <c r="O84" i="6" s="1"/>
  <c r="P84" i="6" s="1"/>
  <c r="S83" i="6"/>
  <c r="J46" i="7" l="1"/>
  <c r="I46" i="7"/>
  <c r="Q39" i="7"/>
  <c r="R39" i="7" s="1"/>
  <c r="T39" i="7" s="1"/>
  <c r="F47" i="7"/>
  <c r="G47" i="7" s="1"/>
  <c r="C85" i="6"/>
  <c r="D85" i="6" s="1"/>
  <c r="E85" i="6" s="1"/>
  <c r="H84" i="6"/>
  <c r="Q83" i="6"/>
  <c r="R83" i="6" s="1"/>
  <c r="T83" i="6" s="1"/>
  <c r="I82" i="6"/>
  <c r="J82" i="6"/>
  <c r="N85" i="6"/>
  <c r="O85" i="6" s="1"/>
  <c r="P85" i="6" s="1"/>
  <c r="S84" i="6"/>
  <c r="F83" i="6"/>
  <c r="G83" i="6" s="1"/>
  <c r="J47" i="7" l="1"/>
  <c r="I47" i="7"/>
  <c r="F48" i="7"/>
  <c r="G48" i="7" s="1"/>
  <c r="Q40" i="7"/>
  <c r="R40" i="7" s="1"/>
  <c r="T40" i="7" s="1"/>
  <c r="I83" i="6"/>
  <c r="J83" i="6"/>
  <c r="Q84" i="6"/>
  <c r="R84" i="6" s="1"/>
  <c r="T84" i="6" s="1"/>
  <c r="F84" i="6"/>
  <c r="G84" i="6" s="1"/>
  <c r="N86" i="6"/>
  <c r="O86" i="6" s="1"/>
  <c r="P86" i="6" s="1"/>
  <c r="S85" i="6"/>
  <c r="C86" i="6"/>
  <c r="D86" i="6" s="1"/>
  <c r="E86" i="6" s="1"/>
  <c r="H85" i="6"/>
  <c r="Q41" i="7" l="1"/>
  <c r="R41" i="7" s="1"/>
  <c r="T41" i="7" s="1"/>
  <c r="I48" i="7"/>
  <c r="J48" i="7"/>
  <c r="F49" i="7"/>
  <c r="G49" i="7" s="1"/>
  <c r="F85" i="6"/>
  <c r="G85" i="6" s="1"/>
  <c r="I84" i="6"/>
  <c r="J84" i="6"/>
  <c r="C87" i="6"/>
  <c r="D87" i="6" s="1"/>
  <c r="E87" i="6" s="1"/>
  <c r="H86" i="6"/>
  <c r="Q85" i="6"/>
  <c r="R85" i="6" s="1"/>
  <c r="T85" i="6" s="1"/>
  <c r="N87" i="6"/>
  <c r="O87" i="6" s="1"/>
  <c r="P87" i="6" s="1"/>
  <c r="S86" i="6"/>
  <c r="J49" i="7" l="1"/>
  <c r="I49" i="7"/>
  <c r="F50" i="7"/>
  <c r="G50" i="7" s="1"/>
  <c r="Q42" i="7"/>
  <c r="R42" i="7" s="1"/>
  <c r="T42" i="7" s="1"/>
  <c r="F86" i="6"/>
  <c r="G86" i="6" s="1"/>
  <c r="Q86" i="6"/>
  <c r="R86" i="6" s="1"/>
  <c r="T86" i="6" s="1"/>
  <c r="C88" i="6"/>
  <c r="D88" i="6" s="1"/>
  <c r="E88" i="6" s="1"/>
  <c r="H87" i="6"/>
  <c r="N88" i="6"/>
  <c r="O88" i="6" s="1"/>
  <c r="P88" i="6" s="1"/>
  <c r="S87" i="6"/>
  <c r="I85" i="6"/>
  <c r="J85" i="6"/>
  <c r="Q43" i="7" l="1"/>
  <c r="R43" i="7" s="1"/>
  <c r="T43" i="7" s="1"/>
  <c r="I50" i="7"/>
  <c r="J50" i="7"/>
  <c r="F51" i="7"/>
  <c r="G51" i="7" s="1"/>
  <c r="F87" i="6"/>
  <c r="G87" i="6" s="1"/>
  <c r="C89" i="6"/>
  <c r="D89" i="6" s="1"/>
  <c r="E89" i="6" s="1"/>
  <c r="H88" i="6"/>
  <c r="I86" i="6"/>
  <c r="J86" i="6"/>
  <c r="Q87" i="6"/>
  <c r="R87" i="6" s="1"/>
  <c r="T87" i="6" s="1"/>
  <c r="N89" i="6"/>
  <c r="O89" i="6" s="1"/>
  <c r="P89" i="6" s="1"/>
  <c r="S88" i="6"/>
  <c r="F52" i="7" l="1"/>
  <c r="G52" i="7" s="1"/>
  <c r="I51" i="7"/>
  <c r="J51" i="7"/>
  <c r="Q44" i="7"/>
  <c r="R44" i="7" s="1"/>
  <c r="T44" i="7" s="1"/>
  <c r="I87" i="6"/>
  <c r="J87" i="6"/>
  <c r="F88" i="6"/>
  <c r="G88" i="6" s="1"/>
  <c r="Q88" i="6"/>
  <c r="R88" i="6" s="1"/>
  <c r="T88" i="6" s="1"/>
  <c r="N90" i="6"/>
  <c r="O90" i="6" s="1"/>
  <c r="P90" i="6" s="1"/>
  <c r="S89" i="6"/>
  <c r="C90" i="6"/>
  <c r="D90" i="6" s="1"/>
  <c r="E90" i="6" s="1"/>
  <c r="H89" i="6"/>
  <c r="Q45" i="7" l="1"/>
  <c r="R45" i="7" s="1"/>
  <c r="T45" i="7" s="1"/>
  <c r="I52" i="7"/>
  <c r="J52" i="7"/>
  <c r="F53" i="7"/>
  <c r="I88" i="6"/>
  <c r="J88" i="6"/>
  <c r="Q89" i="6"/>
  <c r="R89" i="6" s="1"/>
  <c r="T89" i="6" s="1"/>
  <c r="N91" i="6"/>
  <c r="O91" i="6" s="1"/>
  <c r="P91" i="6" s="1"/>
  <c r="S90" i="6"/>
  <c r="F89" i="6"/>
  <c r="G89" i="6" s="1"/>
  <c r="C91" i="6"/>
  <c r="D91" i="6" s="1"/>
  <c r="E91" i="6" s="1"/>
  <c r="H90" i="6"/>
  <c r="G53" i="7" l="1"/>
  <c r="F48" i="1" s="1"/>
  <c r="F54" i="7"/>
  <c r="G54" i="7" s="1"/>
  <c r="Q46" i="7"/>
  <c r="R46" i="7" s="1"/>
  <c r="T46" i="7" s="1"/>
  <c r="I89" i="6"/>
  <c r="J89" i="6"/>
  <c r="F90" i="6"/>
  <c r="G90" i="6" s="1"/>
  <c r="Q90" i="6"/>
  <c r="R90" i="6" s="1"/>
  <c r="T90" i="6" s="1"/>
  <c r="C92" i="6"/>
  <c r="D92" i="6" s="1"/>
  <c r="E92" i="6" s="1"/>
  <c r="H91" i="6"/>
  <c r="N92" i="6"/>
  <c r="O92" i="6" s="1"/>
  <c r="P92" i="6" s="1"/>
  <c r="S91" i="6"/>
  <c r="F47" i="1" l="1"/>
  <c r="F46" i="1"/>
  <c r="Q47" i="7"/>
  <c r="R47" i="7" s="1"/>
  <c r="T47" i="7" s="1"/>
  <c r="I54" i="7"/>
  <c r="J54" i="7"/>
  <c r="F55" i="7"/>
  <c r="G55" i="7" s="1"/>
  <c r="Q91" i="6"/>
  <c r="R91" i="6" s="1"/>
  <c r="T91" i="6" s="1"/>
  <c r="F91" i="6"/>
  <c r="G91" i="6" s="1"/>
  <c r="I90" i="6"/>
  <c r="J90" i="6"/>
  <c r="N93" i="6"/>
  <c r="O93" i="6" s="1"/>
  <c r="P93" i="6" s="1"/>
  <c r="S92" i="6"/>
  <c r="C93" i="6"/>
  <c r="D93" i="6" s="1"/>
  <c r="E93" i="6" s="1"/>
  <c r="H92" i="6"/>
  <c r="I55" i="7" l="1"/>
  <c r="J55" i="7"/>
  <c r="Q48" i="7"/>
  <c r="R48" i="7" s="1"/>
  <c r="T48" i="7" s="1"/>
  <c r="F56" i="7"/>
  <c r="G56" i="7" s="1"/>
  <c r="I91" i="6"/>
  <c r="J91" i="6"/>
  <c r="F92" i="6"/>
  <c r="G92" i="6" s="1"/>
  <c r="Q92" i="6"/>
  <c r="R92" i="6" s="1"/>
  <c r="T92" i="6" s="1"/>
  <c r="C94" i="6"/>
  <c r="D94" i="6" s="1"/>
  <c r="E94" i="6" s="1"/>
  <c r="H93" i="6"/>
  <c r="N94" i="6"/>
  <c r="O94" i="6" s="1"/>
  <c r="P94" i="6" s="1"/>
  <c r="S93" i="6"/>
  <c r="F57" i="7" l="1"/>
  <c r="G57" i="7" s="1"/>
  <c r="I56" i="7"/>
  <c r="J56" i="7"/>
  <c r="Q49" i="7"/>
  <c r="R49" i="7" s="1"/>
  <c r="T49" i="7" s="1"/>
  <c r="Q93" i="6"/>
  <c r="R93" i="6" s="1"/>
  <c r="T93" i="6" s="1"/>
  <c r="N95" i="6"/>
  <c r="O95" i="6" s="1"/>
  <c r="P95" i="6" s="1"/>
  <c r="S94" i="6"/>
  <c r="C95" i="6"/>
  <c r="D95" i="6" s="1"/>
  <c r="E95" i="6" s="1"/>
  <c r="H94" i="6"/>
  <c r="F93" i="6"/>
  <c r="G93" i="6" s="1"/>
  <c r="I92" i="6"/>
  <c r="J92" i="6"/>
  <c r="Q50" i="7" l="1"/>
  <c r="R50" i="7" s="1"/>
  <c r="T50" i="7" s="1"/>
  <c r="J57" i="7"/>
  <c r="I57" i="7"/>
  <c r="F58" i="7"/>
  <c r="G58" i="7" s="1"/>
  <c r="I93" i="6"/>
  <c r="J93" i="6"/>
  <c r="F94" i="6"/>
  <c r="G94" i="6" s="1"/>
  <c r="C96" i="6"/>
  <c r="D96" i="6" s="1"/>
  <c r="E96" i="6" s="1"/>
  <c r="H95" i="6"/>
  <c r="Q94" i="6"/>
  <c r="R94" i="6" s="1"/>
  <c r="T94" i="6" s="1"/>
  <c r="N96" i="6"/>
  <c r="O96" i="6" s="1"/>
  <c r="P96" i="6" s="1"/>
  <c r="S95" i="6"/>
  <c r="F59" i="7" l="1"/>
  <c r="G59" i="7" s="1"/>
  <c r="J58" i="7"/>
  <c r="I58" i="7"/>
  <c r="Q51" i="7"/>
  <c r="R51" i="7" s="1"/>
  <c r="T51" i="7" s="1"/>
  <c r="Q95" i="6"/>
  <c r="R95" i="6" s="1"/>
  <c r="T95" i="6" s="1"/>
  <c r="F95" i="6"/>
  <c r="G95" i="6" s="1"/>
  <c r="I94" i="6"/>
  <c r="J94" i="6"/>
  <c r="C97" i="6"/>
  <c r="D97" i="6" s="1"/>
  <c r="E97" i="6" s="1"/>
  <c r="H96" i="6"/>
  <c r="N97" i="6"/>
  <c r="O97" i="6" s="1"/>
  <c r="P97" i="6" s="1"/>
  <c r="S96" i="6"/>
  <c r="Q52" i="7" l="1"/>
  <c r="R52" i="7" s="1"/>
  <c r="T52" i="7" s="1"/>
  <c r="I59" i="7"/>
  <c r="J59" i="7"/>
  <c r="F60" i="7"/>
  <c r="G60" i="7" s="1"/>
  <c r="N98" i="6"/>
  <c r="O98" i="6" s="1"/>
  <c r="P98" i="6" s="1"/>
  <c r="S97" i="6"/>
  <c r="I95" i="6"/>
  <c r="J95" i="6"/>
  <c r="F96" i="6"/>
  <c r="G96" i="6" s="1"/>
  <c r="Q96" i="6"/>
  <c r="R96" i="6" s="1"/>
  <c r="T96" i="6" s="1"/>
  <c r="C98" i="6"/>
  <c r="D98" i="6" s="1"/>
  <c r="E98" i="6" s="1"/>
  <c r="H97" i="6"/>
  <c r="I60" i="7" l="1"/>
  <c r="J60" i="7"/>
  <c r="F61" i="7"/>
  <c r="G61" i="7" s="1"/>
  <c r="I96" i="6"/>
  <c r="J96" i="6"/>
  <c r="F97" i="6"/>
  <c r="G97" i="6" s="1"/>
  <c r="Q97" i="6"/>
  <c r="R97" i="6" s="1"/>
  <c r="T97" i="6" s="1"/>
  <c r="N99" i="6"/>
  <c r="O99" i="6" s="1"/>
  <c r="P99" i="6" s="1"/>
  <c r="S98" i="6"/>
  <c r="C99" i="6"/>
  <c r="D99" i="6" s="1"/>
  <c r="E99" i="6" s="1"/>
  <c r="H98" i="6"/>
  <c r="I61" i="7" l="1"/>
  <c r="J61" i="7"/>
  <c r="F62" i="7"/>
  <c r="G62" i="7" s="1"/>
  <c r="Q98" i="6"/>
  <c r="R98" i="6" s="1"/>
  <c r="T98" i="6" s="1"/>
  <c r="N100" i="6"/>
  <c r="O100" i="6" s="1"/>
  <c r="P100" i="6" s="1"/>
  <c r="S99" i="6"/>
  <c r="C100" i="6"/>
  <c r="D100" i="6" s="1"/>
  <c r="E100" i="6" s="1"/>
  <c r="H99" i="6"/>
  <c r="I97" i="6"/>
  <c r="J97" i="6"/>
  <c r="F98" i="6"/>
  <c r="G98" i="6" s="1"/>
  <c r="I62" i="7" l="1"/>
  <c r="J62" i="7"/>
  <c r="F63" i="7"/>
  <c r="G63" i="7" s="1"/>
  <c r="N101" i="6"/>
  <c r="O101" i="6" s="1"/>
  <c r="P101" i="6" s="1"/>
  <c r="S100" i="6"/>
  <c r="C101" i="6"/>
  <c r="D101" i="6" s="1"/>
  <c r="E101" i="6" s="1"/>
  <c r="H100" i="6"/>
  <c r="Q99" i="6"/>
  <c r="R99" i="6" s="1"/>
  <c r="T99" i="6" s="1"/>
  <c r="I98" i="6"/>
  <c r="J98" i="6"/>
  <c r="F99" i="6"/>
  <c r="G99" i="6" s="1"/>
  <c r="F64" i="7" l="1"/>
  <c r="G64" i="7" s="1"/>
  <c r="J63" i="7"/>
  <c r="I63" i="7"/>
  <c r="F100" i="6"/>
  <c r="G100" i="6" s="1"/>
  <c r="C102" i="6"/>
  <c r="D102" i="6" s="1"/>
  <c r="E102" i="6" s="1"/>
  <c r="H101" i="6"/>
  <c r="Q100" i="6"/>
  <c r="R100" i="6" s="1"/>
  <c r="T100" i="6" s="1"/>
  <c r="I99" i="6"/>
  <c r="J99" i="6"/>
  <c r="N102" i="6"/>
  <c r="O102" i="6" s="1"/>
  <c r="P102" i="6" s="1"/>
  <c r="S101" i="6"/>
  <c r="J64" i="7" l="1"/>
  <c r="I64" i="7"/>
  <c r="F65" i="7"/>
  <c r="G65" i="7" s="1"/>
  <c r="Q101" i="6"/>
  <c r="R101" i="6" s="1"/>
  <c r="T101" i="6" s="1"/>
  <c r="N103" i="6"/>
  <c r="O103" i="6" s="1"/>
  <c r="P103" i="6" s="1"/>
  <c r="S102" i="6"/>
  <c r="I100" i="6"/>
  <c r="J100" i="6"/>
  <c r="F101" i="6"/>
  <c r="G101" i="6" s="1"/>
  <c r="C103" i="6"/>
  <c r="D103" i="6" s="1"/>
  <c r="E103" i="6" s="1"/>
  <c r="H102" i="6"/>
  <c r="F66" i="7" l="1"/>
  <c r="G66" i="7" s="1"/>
  <c r="I65" i="7"/>
  <c r="J65" i="7"/>
  <c r="Q102" i="6"/>
  <c r="R102" i="6" s="1"/>
  <c r="T102" i="6" s="1"/>
  <c r="F102" i="6"/>
  <c r="G102" i="6" s="1"/>
  <c r="C104" i="6"/>
  <c r="D104" i="6" s="1"/>
  <c r="E104" i="6" s="1"/>
  <c r="H103" i="6"/>
  <c r="N104" i="6"/>
  <c r="O104" i="6" s="1"/>
  <c r="P104" i="6" s="1"/>
  <c r="S103" i="6"/>
  <c r="I101" i="6"/>
  <c r="J101" i="6"/>
  <c r="I66" i="7" l="1"/>
  <c r="J66" i="7"/>
  <c r="F67" i="7"/>
  <c r="G67" i="7" s="1"/>
  <c r="Q103" i="6"/>
  <c r="R103" i="6" s="1"/>
  <c r="T103" i="6" s="1"/>
  <c r="N105" i="6"/>
  <c r="O105" i="6" s="1"/>
  <c r="P105" i="6" s="1"/>
  <c r="S104" i="6"/>
  <c r="F103" i="6"/>
  <c r="G103" i="6" s="1"/>
  <c r="C105" i="6"/>
  <c r="D105" i="6" s="1"/>
  <c r="E105" i="6" s="1"/>
  <c r="H104" i="6"/>
  <c r="I102" i="6"/>
  <c r="J102" i="6"/>
  <c r="I67" i="7" l="1"/>
  <c r="J67" i="7"/>
  <c r="F68" i="7"/>
  <c r="G68" i="7" s="1"/>
  <c r="C106" i="6"/>
  <c r="D106" i="6" s="1"/>
  <c r="E106" i="6" s="1"/>
  <c r="H105" i="6"/>
  <c r="N106" i="6"/>
  <c r="O106" i="6" s="1"/>
  <c r="P106" i="6" s="1"/>
  <c r="S105" i="6"/>
  <c r="I103" i="6"/>
  <c r="J103" i="6"/>
  <c r="F104" i="6"/>
  <c r="G104" i="6" s="1"/>
  <c r="Q104" i="6"/>
  <c r="R104" i="6" s="1"/>
  <c r="T104" i="6" s="1"/>
  <c r="F69" i="7" l="1"/>
  <c r="G69" i="7" s="1"/>
  <c r="J68" i="7"/>
  <c r="I68" i="7"/>
  <c r="I104" i="6"/>
  <c r="J104" i="6"/>
  <c r="N107" i="6"/>
  <c r="O107" i="6" s="1"/>
  <c r="P107" i="6" s="1"/>
  <c r="S106" i="6"/>
  <c r="C107" i="6"/>
  <c r="D107" i="6" s="1"/>
  <c r="E107" i="6" s="1"/>
  <c r="H106" i="6"/>
  <c r="Q105" i="6"/>
  <c r="R105" i="6" s="1"/>
  <c r="T105" i="6" s="1"/>
  <c r="F105" i="6"/>
  <c r="G105" i="6" s="1"/>
  <c r="I69" i="7" l="1"/>
  <c r="J69" i="7"/>
  <c r="F70" i="7"/>
  <c r="G70" i="7" s="1"/>
  <c r="I105" i="6"/>
  <c r="J105" i="6"/>
  <c r="C108" i="6"/>
  <c r="D108" i="6" s="1"/>
  <c r="E108" i="6" s="1"/>
  <c r="H107" i="6"/>
  <c r="Q106" i="6"/>
  <c r="R106" i="6" s="1"/>
  <c r="T106" i="6" s="1"/>
  <c r="N108" i="6"/>
  <c r="O108" i="6" s="1"/>
  <c r="P108" i="6" s="1"/>
  <c r="S107" i="6"/>
  <c r="F106" i="6"/>
  <c r="G106" i="6" s="1"/>
  <c r="J70" i="7" l="1"/>
  <c r="I70" i="7"/>
  <c r="F71" i="7"/>
  <c r="G71" i="7" s="1"/>
  <c r="I106" i="6"/>
  <c r="J106" i="6"/>
  <c r="C109" i="6"/>
  <c r="D109" i="6" s="1"/>
  <c r="E109" i="6" s="1"/>
  <c r="H108" i="6"/>
  <c r="Q107" i="6"/>
  <c r="R107" i="6" s="1"/>
  <c r="T107" i="6" s="1"/>
  <c r="N109" i="6"/>
  <c r="O109" i="6" s="1"/>
  <c r="P109" i="6" s="1"/>
  <c r="S108" i="6"/>
  <c r="F107" i="6"/>
  <c r="G107" i="6" s="1"/>
  <c r="F72" i="7" l="1"/>
  <c r="G72" i="7" s="1"/>
  <c r="J71" i="7"/>
  <c r="I71" i="7"/>
  <c r="F108" i="6"/>
  <c r="G108" i="6" s="1"/>
  <c r="Q108" i="6"/>
  <c r="R108" i="6" s="1"/>
  <c r="T108" i="6" s="1"/>
  <c r="C110" i="6"/>
  <c r="D110" i="6" s="1"/>
  <c r="E110" i="6" s="1"/>
  <c r="H109" i="6"/>
  <c r="I107" i="6"/>
  <c r="J107" i="6"/>
  <c r="N110" i="6"/>
  <c r="O110" i="6" s="1"/>
  <c r="P110" i="6" s="1"/>
  <c r="S109" i="6"/>
  <c r="J72" i="7" l="1"/>
  <c r="I72" i="7"/>
  <c r="F73" i="7"/>
  <c r="G73" i="7" s="1"/>
  <c r="Q109" i="6"/>
  <c r="R109" i="6" s="1"/>
  <c r="T109" i="6" s="1"/>
  <c r="F109" i="6"/>
  <c r="G109" i="6" s="1"/>
  <c r="C111" i="6"/>
  <c r="D111" i="6" s="1"/>
  <c r="E111" i="6" s="1"/>
  <c r="H110" i="6"/>
  <c r="I108" i="6"/>
  <c r="J108" i="6"/>
  <c r="N111" i="6"/>
  <c r="O111" i="6" s="1"/>
  <c r="P111" i="6" s="1"/>
  <c r="S110" i="6"/>
  <c r="F74" i="7" l="1"/>
  <c r="G74" i="7" s="1"/>
  <c r="J73" i="7"/>
  <c r="I73" i="7"/>
  <c r="I109" i="6"/>
  <c r="J109" i="6"/>
  <c r="N112" i="6"/>
  <c r="O112" i="6" s="1"/>
  <c r="P112" i="6" s="1"/>
  <c r="S111" i="6"/>
  <c r="Q110" i="6"/>
  <c r="R110" i="6" s="1"/>
  <c r="T110" i="6" s="1"/>
  <c r="F110" i="6"/>
  <c r="G110" i="6" s="1"/>
  <c r="C112" i="6"/>
  <c r="D112" i="6" s="1"/>
  <c r="E112" i="6" s="1"/>
  <c r="H111" i="6"/>
  <c r="J74" i="7" l="1"/>
  <c r="I74" i="7"/>
  <c r="F75" i="7"/>
  <c r="G75" i="7" s="1"/>
  <c r="S112" i="6"/>
  <c r="F111" i="6"/>
  <c r="G111" i="6" s="1"/>
  <c r="H112" i="6"/>
  <c r="I110" i="6"/>
  <c r="J110" i="6"/>
  <c r="Q111" i="6"/>
  <c r="R111" i="6" s="1"/>
  <c r="T111" i="6" s="1"/>
  <c r="J75" i="7" l="1"/>
  <c r="I75" i="7"/>
  <c r="F77" i="7"/>
  <c r="G77" i="7" s="1"/>
  <c r="F76" i="7"/>
  <c r="G76" i="7" s="1"/>
  <c r="F112" i="6"/>
  <c r="G112" i="6" s="1"/>
  <c r="I111" i="6"/>
  <c r="J111" i="6"/>
  <c r="Q112" i="6"/>
  <c r="R112" i="6" s="1"/>
  <c r="T112" i="6" s="1"/>
  <c r="J76" i="7" l="1"/>
  <c r="I76" i="7"/>
  <c r="I77" i="7"/>
  <c r="J77" i="7"/>
  <c r="I112" i="6"/>
  <c r="J112" i="6"/>
  <c r="H28" i="2" l="1"/>
  <c r="D28" i="2"/>
  <c r="N4" i="2"/>
  <c r="C4" i="2"/>
  <c r="H4" i="2" s="1"/>
  <c r="E28" i="2" l="1"/>
  <c r="F28" i="2" s="1"/>
  <c r="G28" i="2"/>
  <c r="S4" i="2"/>
  <c r="N5" i="2"/>
  <c r="D4" i="2"/>
  <c r="G4" i="2" s="1"/>
  <c r="C5" i="2"/>
  <c r="I28" i="2" l="1"/>
  <c r="H5" i="2"/>
  <c r="C6" i="2"/>
  <c r="D5" i="2"/>
  <c r="S5" i="2"/>
  <c r="N6" i="2"/>
  <c r="E4" i="2"/>
  <c r="I4" i="2" s="1"/>
  <c r="F4" i="2" l="1"/>
  <c r="S6" i="2"/>
  <c r="N7" i="2"/>
  <c r="E5" i="2"/>
  <c r="F5" i="2" s="1"/>
  <c r="H6" i="2"/>
  <c r="D6" i="2"/>
  <c r="C7" i="2"/>
  <c r="G5" i="2"/>
  <c r="C8" i="2" l="1"/>
  <c r="H7" i="2"/>
  <c r="D7" i="2"/>
  <c r="E6" i="2"/>
  <c r="F6" i="2" s="1"/>
  <c r="N8" i="2"/>
  <c r="S7" i="2"/>
  <c r="G6" i="2"/>
  <c r="I5" i="2"/>
  <c r="I6" i="2" l="1"/>
  <c r="S8" i="2"/>
  <c r="N9" i="2"/>
  <c r="E7" i="2"/>
  <c r="F7" i="2" s="1"/>
  <c r="G7" i="2"/>
  <c r="H8" i="2"/>
  <c r="D8" i="2"/>
  <c r="C9" i="2"/>
  <c r="I7" i="2" l="1"/>
  <c r="E8" i="2"/>
  <c r="F8" i="2" s="1"/>
  <c r="G8" i="2"/>
  <c r="N10" i="2"/>
  <c r="S9" i="2"/>
  <c r="H9" i="2"/>
  <c r="D9" i="2"/>
  <c r="C10" i="2"/>
  <c r="I8" i="2" l="1"/>
  <c r="E9" i="2"/>
  <c r="F9" i="2" s="1"/>
  <c r="B29" i="2" s="1"/>
  <c r="H10" i="2"/>
  <c r="D10" i="2"/>
  <c r="C11" i="2"/>
  <c r="G9" i="2"/>
  <c r="N11" i="2"/>
  <c r="S10" i="2"/>
  <c r="I9" i="2" l="1"/>
  <c r="H11" i="2"/>
  <c r="C12" i="2"/>
  <c r="D11" i="2"/>
  <c r="S11" i="2"/>
  <c r="N12" i="2"/>
  <c r="E10" i="2"/>
  <c r="F10" i="2" s="1"/>
  <c r="B30" i="2" s="1"/>
  <c r="G10" i="2"/>
  <c r="J89" i="2" l="1"/>
  <c r="O3" i="2"/>
  <c r="J88" i="2"/>
  <c r="J29" i="2"/>
  <c r="I10" i="2"/>
  <c r="C13" i="2"/>
  <c r="H12" i="2"/>
  <c r="D12" i="2"/>
  <c r="S12" i="2"/>
  <c r="N13" i="2"/>
  <c r="E11" i="2"/>
  <c r="F11" i="2" s="1"/>
  <c r="B31" i="2" s="1"/>
  <c r="G11" i="2"/>
  <c r="R3" i="2" l="1"/>
  <c r="P3" i="2"/>
  <c r="Q3" i="2" s="1"/>
  <c r="O4" i="2"/>
  <c r="R4" i="2" s="1"/>
  <c r="J90" i="2"/>
  <c r="J30" i="2"/>
  <c r="H42" i="1"/>
  <c r="I11" i="2"/>
  <c r="E12" i="2"/>
  <c r="F12" i="2" s="1"/>
  <c r="B32" i="2" s="1"/>
  <c r="C14" i="2"/>
  <c r="H13" i="2"/>
  <c r="D13" i="2"/>
  <c r="S13" i="2"/>
  <c r="N14" i="2"/>
  <c r="G12" i="2"/>
  <c r="P4" i="2" l="1"/>
  <c r="Q4" i="2" s="1"/>
  <c r="T3" i="2"/>
  <c r="O5" i="2"/>
  <c r="R5" i="2" s="1"/>
  <c r="J91" i="2"/>
  <c r="J31" i="2"/>
  <c r="I12" i="2"/>
  <c r="E13" i="2"/>
  <c r="F13" i="2" s="1"/>
  <c r="B33" i="2" s="1"/>
  <c r="D14" i="2"/>
  <c r="C15" i="2"/>
  <c r="H14" i="2"/>
  <c r="N15" i="2"/>
  <c r="S14" i="2"/>
  <c r="G13" i="2"/>
  <c r="T4" i="2" l="1"/>
  <c r="P5" i="2"/>
  <c r="Q5" i="2" s="1"/>
  <c r="O6" i="2"/>
  <c r="P6" i="2" s="1"/>
  <c r="J92" i="2"/>
  <c r="J32" i="2"/>
  <c r="G14" i="2"/>
  <c r="I13" i="2"/>
  <c r="S15" i="2"/>
  <c r="N16" i="2"/>
  <c r="C16" i="2"/>
  <c r="D15" i="2"/>
  <c r="H15" i="2"/>
  <c r="E14" i="2"/>
  <c r="T5" i="2" l="1"/>
  <c r="O7" i="2"/>
  <c r="R7" i="2" s="1"/>
  <c r="R6" i="2"/>
  <c r="T6" i="2" s="1"/>
  <c r="Q6" i="2"/>
  <c r="J33" i="2"/>
  <c r="I14" i="2"/>
  <c r="G15" i="2"/>
  <c r="F14" i="2"/>
  <c r="B34" i="2" s="1"/>
  <c r="D16" i="2"/>
  <c r="C17" i="2"/>
  <c r="H16" i="2"/>
  <c r="N17" i="2"/>
  <c r="S16" i="2"/>
  <c r="E15" i="2"/>
  <c r="F15" i="2" s="1"/>
  <c r="B35" i="2" l="1"/>
  <c r="P7" i="2"/>
  <c r="Q7" i="2" s="1"/>
  <c r="J93" i="2"/>
  <c r="J94" i="2"/>
  <c r="J34" i="2"/>
  <c r="G16" i="2"/>
  <c r="I15" i="2"/>
  <c r="S17" i="2"/>
  <c r="N18" i="2"/>
  <c r="H17" i="2"/>
  <c r="D17" i="2"/>
  <c r="C18" i="2"/>
  <c r="E16" i="2"/>
  <c r="F16" i="2" s="1"/>
  <c r="B36" i="2" l="1"/>
  <c r="T7" i="2"/>
  <c r="O9" i="2"/>
  <c r="P9" i="2" s="1"/>
  <c r="O8" i="2"/>
  <c r="R8" i="2" s="1"/>
  <c r="J95" i="2"/>
  <c r="J35" i="2"/>
  <c r="I16" i="2"/>
  <c r="G17" i="2"/>
  <c r="C19" i="2"/>
  <c r="D18" i="2"/>
  <c r="H18" i="2"/>
  <c r="E17" i="2"/>
  <c r="F17" i="2" s="1"/>
  <c r="S18" i="2"/>
  <c r="N19" i="2"/>
  <c r="B37" i="2" l="1"/>
  <c r="R9" i="2"/>
  <c r="T9" i="2" s="1"/>
  <c r="Q9" i="2"/>
  <c r="P8" i="2"/>
  <c r="Q8" i="2" s="1"/>
  <c r="O10" i="2"/>
  <c r="R10" i="2" s="1"/>
  <c r="J96" i="2"/>
  <c r="J36" i="2"/>
  <c r="G18" i="2"/>
  <c r="D19" i="2"/>
  <c r="H19" i="2"/>
  <c r="C20" i="2"/>
  <c r="N20" i="2"/>
  <c r="S19" i="2"/>
  <c r="E18" i="2"/>
  <c r="I17" i="2"/>
  <c r="P10" i="2" l="1"/>
  <c r="Q10" i="2" s="1"/>
  <c r="O11" i="2"/>
  <c r="R11" i="2" s="1"/>
  <c r="T8" i="2"/>
  <c r="J37" i="2"/>
  <c r="I18" i="2"/>
  <c r="G19" i="2"/>
  <c r="S20" i="2"/>
  <c r="N21" i="2"/>
  <c r="F18" i="2"/>
  <c r="B38" i="2" s="1"/>
  <c r="H20" i="2"/>
  <c r="C21" i="2"/>
  <c r="D20" i="2"/>
  <c r="E19" i="2"/>
  <c r="F19" i="2" s="1"/>
  <c r="B39" i="2" l="1"/>
  <c r="T10" i="2"/>
  <c r="P11" i="2"/>
  <c r="Q11" i="2" s="1"/>
  <c r="J97" i="2"/>
  <c r="J98" i="2"/>
  <c r="J38" i="2"/>
  <c r="I19" i="2"/>
  <c r="E20" i="2"/>
  <c r="F20" i="2" s="1"/>
  <c r="G20" i="2"/>
  <c r="N22" i="2"/>
  <c r="S21" i="2"/>
  <c r="D21" i="2"/>
  <c r="C22" i="2"/>
  <c r="H21" i="2"/>
  <c r="B40" i="2" l="1"/>
  <c r="T11" i="2"/>
  <c r="O14" i="2"/>
  <c r="R14" i="2" s="1"/>
  <c r="O12" i="2"/>
  <c r="R12" i="2" s="1"/>
  <c r="O13" i="2"/>
  <c r="R13" i="2" s="1"/>
  <c r="J39" i="2"/>
  <c r="I20" i="2"/>
  <c r="H22" i="2"/>
  <c r="D22" i="2"/>
  <c r="C23" i="2"/>
  <c r="O22" i="2"/>
  <c r="N23" i="2"/>
  <c r="S22" i="2"/>
  <c r="E21" i="2"/>
  <c r="F21" i="2" s="1"/>
  <c r="G21" i="2"/>
  <c r="B41" i="2" l="1"/>
  <c r="P12" i="2"/>
  <c r="Q12" i="2" s="1"/>
  <c r="P14" i="2"/>
  <c r="Q14" i="2" s="1"/>
  <c r="P13" i="2"/>
  <c r="Q13" i="2" s="1"/>
  <c r="O15" i="2"/>
  <c r="R15" i="2" s="1"/>
  <c r="J40" i="2"/>
  <c r="I21" i="2"/>
  <c r="P22" i="2"/>
  <c r="Q22" i="2" s="1"/>
  <c r="R22" i="2"/>
  <c r="N24" i="2"/>
  <c r="S23" i="2"/>
  <c r="D23" i="2"/>
  <c r="H23" i="2"/>
  <c r="C24" i="2"/>
  <c r="E22" i="2"/>
  <c r="F22" i="2" s="1"/>
  <c r="G22" i="2"/>
  <c r="B42" i="2" l="1"/>
  <c r="T14" i="2"/>
  <c r="T12" i="2"/>
  <c r="T13" i="2"/>
  <c r="P15" i="2"/>
  <c r="Q15" i="2" s="1"/>
  <c r="O16" i="2"/>
  <c r="R16" i="2" s="1"/>
  <c r="J41" i="2"/>
  <c r="G23" i="2"/>
  <c r="E23" i="2"/>
  <c r="C25" i="2"/>
  <c r="D24" i="2"/>
  <c r="H24" i="2"/>
  <c r="S24" i="2"/>
  <c r="N25" i="2"/>
  <c r="T22" i="2"/>
  <c r="I22" i="2"/>
  <c r="T15" i="2" l="1"/>
  <c r="P16" i="2"/>
  <c r="Q16" i="2" s="1"/>
  <c r="J42" i="2"/>
  <c r="I23" i="2"/>
  <c r="G24" i="2"/>
  <c r="D25" i="2"/>
  <c r="C26" i="2"/>
  <c r="H25" i="2"/>
  <c r="S25" i="2"/>
  <c r="N26" i="2"/>
  <c r="E24" i="2"/>
  <c r="F23" i="2"/>
  <c r="B43" i="2" s="1"/>
  <c r="T16" i="2" l="1"/>
  <c r="O17" i="2"/>
  <c r="R17" i="2" s="1"/>
  <c r="J43" i="2"/>
  <c r="I24" i="2"/>
  <c r="F24" i="2"/>
  <c r="B44" i="2" s="1"/>
  <c r="E25" i="2"/>
  <c r="F25" i="2" s="1"/>
  <c r="N27" i="2"/>
  <c r="S26" i="2"/>
  <c r="G25" i="2"/>
  <c r="D26" i="2"/>
  <c r="C27" i="2"/>
  <c r="H26" i="2"/>
  <c r="B45" i="2" l="1"/>
  <c r="P17" i="2"/>
  <c r="Q17" i="2" s="1"/>
  <c r="O19" i="2"/>
  <c r="P19" i="2" s="1"/>
  <c r="O18" i="2"/>
  <c r="P18" i="2" s="1"/>
  <c r="J44" i="2"/>
  <c r="I25" i="2"/>
  <c r="G26" i="2"/>
  <c r="E26" i="2"/>
  <c r="H27" i="2"/>
  <c r="D27" i="2"/>
  <c r="S27" i="2"/>
  <c r="T17" i="2" l="1"/>
  <c r="R18" i="2"/>
  <c r="T18" i="2" s="1"/>
  <c r="Q18" i="2"/>
  <c r="R19" i="2"/>
  <c r="T19" i="2" s="1"/>
  <c r="Q19" i="2"/>
  <c r="J45" i="2"/>
  <c r="I26" i="2"/>
  <c r="G27" i="2"/>
  <c r="E27" i="2"/>
  <c r="F26" i="2"/>
  <c r="B46" i="2" s="1"/>
  <c r="O20" i="2" l="1"/>
  <c r="R20" i="2" s="1"/>
  <c r="J46" i="2"/>
  <c r="I27" i="2"/>
  <c r="F27" i="2"/>
  <c r="B47" i="2" s="1"/>
  <c r="B48" i="2" s="1"/>
  <c r="P20" i="2" l="1"/>
  <c r="Q20" i="2" s="1"/>
  <c r="O21" i="2"/>
  <c r="R21" i="2" s="1"/>
  <c r="J47" i="2"/>
  <c r="T20" i="2" l="1"/>
  <c r="P21" i="2"/>
  <c r="Q21" i="2" s="1"/>
  <c r="O24" i="2"/>
  <c r="R24" i="2" s="1"/>
  <c r="J48" i="2"/>
  <c r="P24" i="2" l="1"/>
  <c r="Q24" i="2" s="1"/>
  <c r="T21" i="2"/>
  <c r="O25" i="2"/>
  <c r="R25" i="2" s="1"/>
  <c r="O23" i="2"/>
  <c r="P23" i="2" s="1"/>
  <c r="T24" i="2" l="1"/>
  <c r="P25" i="2"/>
  <c r="Q25" i="2" s="1"/>
  <c r="O26" i="2"/>
  <c r="R26" i="2" s="1"/>
  <c r="R23" i="2"/>
  <c r="T23" i="2" s="1"/>
  <c r="Q23" i="2"/>
  <c r="T25" i="2" l="1"/>
  <c r="P26" i="2"/>
  <c r="Q26" i="2" s="1"/>
  <c r="T26" i="2" l="1"/>
  <c r="O27" i="2"/>
  <c r="R27" i="2" s="1"/>
  <c r="O28" i="2"/>
  <c r="P28" i="2" s="1"/>
  <c r="P27" i="2" l="1"/>
  <c r="Q27" i="2" s="1"/>
  <c r="R28" i="2"/>
  <c r="T28" i="2" s="1"/>
  <c r="Q28" i="2"/>
  <c r="J53" i="2"/>
  <c r="T27" i="2" l="1"/>
  <c r="J54" i="2"/>
  <c r="J55" i="2" l="1"/>
  <c r="J56" i="2" l="1"/>
  <c r="J57" i="2" l="1"/>
  <c r="J58" i="2" l="1"/>
  <c r="J59" i="2" l="1"/>
  <c r="J60" i="2" l="1"/>
  <c r="J61" i="2" l="1"/>
  <c r="J62" i="2" l="1"/>
  <c r="J63" i="2" l="1"/>
  <c r="J64" i="2" l="1"/>
  <c r="J65" i="2" l="1"/>
  <c r="J66" i="2" l="1"/>
  <c r="J67" i="2" l="1"/>
  <c r="J68" i="2" l="1"/>
  <c r="J69" i="2" l="1"/>
  <c r="J70" i="2" l="1"/>
  <c r="J71" i="2" l="1"/>
  <c r="J72" i="2" l="1"/>
  <c r="J73" i="2" l="1"/>
  <c r="J74" i="2" l="1"/>
  <c r="J75" i="2" l="1"/>
  <c r="J76" i="2" l="1"/>
  <c r="J77" i="2" l="1"/>
  <c r="J78" i="2" l="1"/>
  <c r="J79" i="2" l="1"/>
  <c r="J80" i="2" l="1"/>
  <c r="J81" i="2" l="1"/>
  <c r="J82" i="2" l="1"/>
  <c r="J83" i="2" l="1"/>
  <c r="J84" i="2" l="1"/>
  <c r="J85" i="2" l="1"/>
  <c r="J87" i="2" l="1"/>
  <c r="J86" i="2"/>
  <c r="S88" i="2" l="1"/>
  <c r="O88" i="2"/>
  <c r="R88" i="2" l="1"/>
  <c r="O29" i="2"/>
  <c r="P29" i="2" s="1"/>
  <c r="Q29" i="2" s="1"/>
  <c r="S29" i="2"/>
  <c r="P88" i="2"/>
  <c r="Q88" i="2" s="1"/>
  <c r="R29" i="2" l="1"/>
  <c r="T29" i="2" s="1"/>
  <c r="S30" i="2"/>
  <c r="O30" i="2"/>
  <c r="P30" i="2" s="1"/>
  <c r="T88" i="2"/>
  <c r="S98" i="2"/>
  <c r="O98" i="2"/>
  <c r="P98" i="2" s="1"/>
  <c r="S90" i="2"/>
  <c r="O97" i="2"/>
  <c r="R30" i="2" l="1"/>
  <c r="T30" i="2" s="1"/>
  <c r="Q30" i="2"/>
  <c r="S31" i="2"/>
  <c r="O31" i="2"/>
  <c r="R98" i="2"/>
  <c r="T98" i="2" s="1"/>
  <c r="P97" i="2"/>
  <c r="Q97" i="2" s="1"/>
  <c r="S97" i="2"/>
  <c r="R97" i="2" s="1"/>
  <c r="Q98" i="2"/>
  <c r="O90" i="2"/>
  <c r="O91" i="2"/>
  <c r="O95" i="2"/>
  <c r="S93" i="2"/>
  <c r="S95" i="2"/>
  <c r="S96" i="2"/>
  <c r="S91" i="2"/>
  <c r="O89" i="2"/>
  <c r="O93" i="2"/>
  <c r="S89" i="2"/>
  <c r="O92" i="2"/>
  <c r="O94" i="2"/>
  <c r="O96" i="2"/>
  <c r="S92" i="2"/>
  <c r="S94" i="2"/>
  <c r="R31" i="2" l="1"/>
  <c r="P31" i="2"/>
  <c r="Q31" i="2" s="1"/>
  <c r="S32" i="2"/>
  <c r="O32" i="2"/>
  <c r="P32" i="2" s="1"/>
  <c r="Q32" i="2" s="1"/>
  <c r="R96" i="2"/>
  <c r="T97" i="2"/>
  <c r="R89" i="2"/>
  <c r="R95" i="2"/>
  <c r="P91" i="2"/>
  <c r="Q91" i="2" s="1"/>
  <c r="P94" i="2"/>
  <c r="Q94" i="2" s="1"/>
  <c r="P90" i="2"/>
  <c r="Q90" i="2" s="1"/>
  <c r="P93" i="2"/>
  <c r="Q93" i="2" s="1"/>
  <c r="P92" i="2"/>
  <c r="Q92" i="2" s="1"/>
  <c r="P89" i="2"/>
  <c r="R91" i="2"/>
  <c r="R90" i="2"/>
  <c r="R94" i="2"/>
  <c r="R93" i="2"/>
  <c r="R92" i="2"/>
  <c r="P96" i="2"/>
  <c r="P95" i="2"/>
  <c r="Q95" i="2" s="1"/>
  <c r="T31" i="2" l="1"/>
  <c r="T96" i="2"/>
  <c r="T91" i="2"/>
  <c r="R32" i="2"/>
  <c r="T32" i="2" s="1"/>
  <c r="O33" i="2"/>
  <c r="S33" i="2"/>
  <c r="T89" i="2"/>
  <c r="T94" i="2"/>
  <c r="T93" i="2"/>
  <c r="T92" i="2"/>
  <c r="T95" i="2"/>
  <c r="T90" i="2"/>
  <c r="Q89" i="2"/>
  <c r="Q96" i="2"/>
  <c r="H98" i="7"/>
  <c r="D98" i="7"/>
  <c r="E98" i="7" s="1"/>
  <c r="P33" i="2" l="1"/>
  <c r="Q33" i="2" s="1"/>
  <c r="S34" i="2"/>
  <c r="O34" i="2"/>
  <c r="P34" i="2" s="1"/>
  <c r="Q34" i="2" s="1"/>
  <c r="R33" i="2"/>
  <c r="F98" i="7"/>
  <c r="G98" i="7" s="1"/>
  <c r="J98" i="7" l="1"/>
  <c r="T33" i="2"/>
  <c r="R34" i="2"/>
  <c r="T34" i="2" s="1"/>
  <c r="S35" i="2"/>
  <c r="O35" i="2"/>
  <c r="P35" i="2" s="1"/>
  <c r="Q35" i="2" s="1"/>
  <c r="I98" i="7" l="1"/>
  <c r="R35" i="2"/>
  <c r="T35" i="2" s="1"/>
  <c r="S36" i="2"/>
  <c r="O36" i="2"/>
  <c r="D79" i="7"/>
  <c r="H79" i="7"/>
  <c r="R36" i="2" l="1"/>
  <c r="O37" i="2"/>
  <c r="S37" i="2"/>
  <c r="P36" i="2"/>
  <c r="Q36" i="2" s="1"/>
  <c r="H81" i="7"/>
  <c r="D81" i="7"/>
  <c r="H80" i="7"/>
  <c r="D80" i="7"/>
  <c r="E79" i="7"/>
  <c r="P37" i="2" l="1"/>
  <c r="Q37" i="2" s="1"/>
  <c r="S38" i="2"/>
  <c r="O38" i="2"/>
  <c r="R37" i="2"/>
  <c r="T36" i="2"/>
  <c r="F79" i="7"/>
  <c r="G79" i="7" s="1"/>
  <c r="E80" i="7"/>
  <c r="F80" i="7" s="1"/>
  <c r="G80" i="7" s="1"/>
  <c r="E81" i="7"/>
  <c r="H82" i="7"/>
  <c r="D82" i="7"/>
  <c r="J79" i="7" l="1"/>
  <c r="T37" i="2"/>
  <c r="R38" i="2"/>
  <c r="S39" i="2"/>
  <c r="O39" i="2"/>
  <c r="P38" i="2"/>
  <c r="J80" i="7"/>
  <c r="I80" i="7"/>
  <c r="E82" i="7"/>
  <c r="F81" i="7"/>
  <c r="G81" i="7" s="1"/>
  <c r="H83" i="7"/>
  <c r="D83" i="7"/>
  <c r="I79" i="7"/>
  <c r="J81" i="7" l="1"/>
  <c r="T38" i="2"/>
  <c r="Q38" i="2"/>
  <c r="P39" i="2"/>
  <c r="Q39" i="2" s="1"/>
  <c r="R39" i="2"/>
  <c r="O40" i="2"/>
  <c r="S40" i="2"/>
  <c r="E83" i="7"/>
  <c r="F83" i="7" s="1"/>
  <c r="G83" i="7" s="1"/>
  <c r="F82" i="7"/>
  <c r="G82" i="7" s="1"/>
  <c r="H84" i="7"/>
  <c r="D84" i="7"/>
  <c r="I81" i="7"/>
  <c r="J82" i="7" l="1"/>
  <c r="T39" i="2"/>
  <c r="R40" i="2"/>
  <c r="O41" i="2"/>
  <c r="S41" i="2"/>
  <c r="P40" i="2"/>
  <c r="Q40" i="2" s="1"/>
  <c r="J83" i="7"/>
  <c r="I83" i="7"/>
  <c r="D85" i="7"/>
  <c r="H85" i="7"/>
  <c r="E84" i="7"/>
  <c r="I82" i="7" l="1"/>
  <c r="O42" i="2"/>
  <c r="S42" i="2"/>
  <c r="R41" i="2"/>
  <c r="P41" i="2"/>
  <c r="T40" i="2"/>
  <c r="E85" i="7"/>
  <c r="F85" i="7" s="1"/>
  <c r="G85" i="7" s="1"/>
  <c r="F84" i="7"/>
  <c r="G84" i="7" s="1"/>
  <c r="D86" i="7"/>
  <c r="H86" i="7"/>
  <c r="J84" i="7" l="1"/>
  <c r="T41" i="2"/>
  <c r="Q41" i="2"/>
  <c r="R42" i="2"/>
  <c r="P42" i="2"/>
  <c r="S43" i="2"/>
  <c r="O43" i="2"/>
  <c r="P43" i="2" s="1"/>
  <c r="Q43" i="2" s="1"/>
  <c r="J85" i="7"/>
  <c r="I85" i="7"/>
  <c r="H87" i="7"/>
  <c r="D87" i="7"/>
  <c r="E86" i="7"/>
  <c r="F86" i="7" s="1"/>
  <c r="G86" i="7" s="1"/>
  <c r="I84" i="7"/>
  <c r="J86" i="7" l="1"/>
  <c r="T42" i="2"/>
  <c r="S44" i="2"/>
  <c r="O44" i="2"/>
  <c r="R43" i="2"/>
  <c r="T43" i="2" s="1"/>
  <c r="Q42" i="2"/>
  <c r="E87" i="7"/>
  <c r="F87" i="7" s="1"/>
  <c r="G87" i="7" s="1"/>
  <c r="D88" i="7"/>
  <c r="H88" i="7"/>
  <c r="I86" i="7" l="1"/>
  <c r="P44" i="2"/>
  <c r="Q44" i="2" s="1"/>
  <c r="R44" i="2"/>
  <c r="S45" i="2"/>
  <c r="O45" i="2"/>
  <c r="P45" i="2" s="1"/>
  <c r="Q45" i="2" s="1"/>
  <c r="J87" i="7"/>
  <c r="I87" i="7"/>
  <c r="H89" i="7"/>
  <c r="D89" i="7"/>
  <c r="E88" i="7"/>
  <c r="F88" i="7" s="1"/>
  <c r="G88" i="7" s="1"/>
  <c r="J88" i="7" l="1"/>
  <c r="T44" i="2"/>
  <c r="O46" i="2"/>
  <c r="S46" i="2"/>
  <c r="R45" i="2"/>
  <c r="T45" i="2" s="1"/>
  <c r="H90" i="7"/>
  <c r="D90" i="7"/>
  <c r="E89" i="7"/>
  <c r="F89" i="7" s="1"/>
  <c r="G89" i="7" s="1"/>
  <c r="I88" i="7" l="1"/>
  <c r="J89" i="7"/>
  <c r="P46" i="2"/>
  <c r="Q46" i="2" s="1"/>
  <c r="R46" i="2"/>
  <c r="S47" i="2"/>
  <c r="O47" i="2"/>
  <c r="P47" i="2" s="1"/>
  <c r="Q47" i="2" s="1"/>
  <c r="D91" i="7"/>
  <c r="H91" i="7"/>
  <c r="E90" i="7"/>
  <c r="F90" i="7" s="1"/>
  <c r="G90" i="7" s="1"/>
  <c r="I89" i="7" l="1"/>
  <c r="R47" i="2"/>
  <c r="T47" i="2" s="1"/>
  <c r="T46" i="2"/>
  <c r="S48" i="2"/>
  <c r="O48" i="2"/>
  <c r="J90" i="7"/>
  <c r="I90" i="7"/>
  <c r="D92" i="7"/>
  <c r="H92" i="7"/>
  <c r="E91" i="7"/>
  <c r="F91" i="7" s="1"/>
  <c r="G91" i="7" s="1"/>
  <c r="J91" i="7" l="1"/>
  <c r="R48" i="2"/>
  <c r="S49" i="2"/>
  <c r="O49" i="2"/>
  <c r="P48" i="2"/>
  <c r="I91" i="7"/>
  <c r="E92" i="7"/>
  <c r="D93" i="7"/>
  <c r="H93" i="7"/>
  <c r="T48" i="2" l="1"/>
  <c r="Q48" i="2"/>
  <c r="R49" i="2"/>
  <c r="P49" i="2"/>
  <c r="Q49" i="2" s="1"/>
  <c r="S50" i="2"/>
  <c r="O50" i="2"/>
  <c r="E93" i="7"/>
  <c r="F93" i="7" s="1"/>
  <c r="G93" i="7" s="1"/>
  <c r="D94" i="7"/>
  <c r="H94" i="7"/>
  <c r="F92" i="7"/>
  <c r="G92" i="7" s="1"/>
  <c r="J92" i="7" l="1"/>
  <c r="R50" i="2"/>
  <c r="T49" i="2"/>
  <c r="P50" i="2"/>
  <c r="S51" i="2"/>
  <c r="O51" i="2"/>
  <c r="P51" i="2" s="1"/>
  <c r="Q51" i="2" s="1"/>
  <c r="J93" i="7"/>
  <c r="I93" i="7"/>
  <c r="E94" i="7"/>
  <c r="F94" i="7" s="1"/>
  <c r="G94" i="7" s="1"/>
  <c r="H95" i="7"/>
  <c r="D95" i="7"/>
  <c r="I92" i="7"/>
  <c r="J94" i="7" l="1"/>
  <c r="T50" i="2"/>
  <c r="S52" i="2"/>
  <c r="O52" i="2"/>
  <c r="Q50" i="2"/>
  <c r="R51" i="2"/>
  <c r="T51" i="2" s="1"/>
  <c r="E95" i="7"/>
  <c r="F95" i="7" s="1"/>
  <c r="G95" i="7" s="1"/>
  <c r="H96" i="7"/>
  <c r="D96" i="7"/>
  <c r="I94" i="7" l="1"/>
  <c r="R52" i="2"/>
  <c r="P52" i="2"/>
  <c r="Q52" i="2" s="1"/>
  <c r="O53" i="2"/>
  <c r="P53" i="2" s="1"/>
  <c r="Q53" i="2" s="1"/>
  <c r="S53" i="2"/>
  <c r="J95" i="7"/>
  <c r="I95" i="7"/>
  <c r="H97" i="7"/>
  <c r="D97" i="7"/>
  <c r="E96" i="7"/>
  <c r="F96" i="7" s="1"/>
  <c r="G96" i="7" s="1"/>
  <c r="J96" i="7" l="1"/>
  <c r="S54" i="2"/>
  <c r="O54" i="2"/>
  <c r="R53" i="2"/>
  <c r="T53" i="2" s="1"/>
  <c r="T52" i="2"/>
  <c r="E97" i="7"/>
  <c r="F97" i="7" s="1"/>
  <c r="G97" i="7" s="1"/>
  <c r="I96" i="7" l="1"/>
  <c r="J97" i="7"/>
  <c r="P54" i="2"/>
  <c r="R54" i="2"/>
  <c r="O55" i="2"/>
  <c r="S55" i="2"/>
  <c r="I97" i="7" l="1"/>
  <c r="T54" i="2"/>
  <c r="R55" i="2"/>
  <c r="P55" i="2"/>
  <c r="Q55" i="2" s="1"/>
  <c r="O56" i="2"/>
  <c r="S56" i="2"/>
  <c r="Q54" i="2"/>
  <c r="S57" i="2" l="1"/>
  <c r="O57" i="2"/>
  <c r="R56" i="2"/>
  <c r="P56" i="2"/>
  <c r="T55" i="2"/>
  <c r="T56" i="2" l="1"/>
  <c r="Q56" i="2"/>
  <c r="P57" i="2"/>
  <c r="Q57" i="2" s="1"/>
  <c r="R57" i="2"/>
  <c r="S58" i="2"/>
  <c r="O58" i="2"/>
  <c r="P58" i="2" s="1"/>
  <c r="Q58" i="2" s="1"/>
  <c r="T57" i="2" l="1"/>
  <c r="R58" i="2"/>
  <c r="T58" i="2" s="1"/>
  <c r="O59" i="2"/>
  <c r="S59" i="2"/>
  <c r="R59" i="2" l="1"/>
  <c r="P59" i="2"/>
  <c r="Q59" i="2" s="1"/>
  <c r="S60" i="2"/>
  <c r="O60" i="2"/>
  <c r="P60" i="2" s="1"/>
  <c r="Q60" i="2" s="1"/>
  <c r="T59" i="2" l="1"/>
  <c r="R60" i="2"/>
  <c r="T60" i="2" s="1"/>
  <c r="O61" i="2"/>
  <c r="S61" i="2"/>
  <c r="R61" i="2" l="1"/>
  <c r="P61" i="2"/>
  <c r="Q61" i="2" s="1"/>
  <c r="S62" i="2"/>
  <c r="O62" i="2"/>
  <c r="S63" i="2" l="1"/>
  <c r="O63" i="2"/>
  <c r="R62" i="2"/>
  <c r="P62" i="2"/>
  <c r="T61" i="2"/>
  <c r="T62" i="2" l="1"/>
  <c r="O64" i="2"/>
  <c r="S64" i="2"/>
  <c r="P63" i="2"/>
  <c r="Q63" i="2" s="1"/>
  <c r="Q62" i="2"/>
  <c r="R63" i="2"/>
  <c r="T63" i="2" l="1"/>
  <c r="O65" i="2"/>
  <c r="S65" i="2"/>
  <c r="R64" i="2"/>
  <c r="P64" i="2"/>
  <c r="T64" i="2" l="1"/>
  <c r="Q64" i="2"/>
  <c r="P65" i="2"/>
  <c r="Q65" i="2" s="1"/>
  <c r="R65" i="2"/>
  <c r="S66" i="2"/>
  <c r="O66" i="2"/>
  <c r="P66" i="2" s="1"/>
  <c r="Q66" i="2" s="1"/>
  <c r="T65" i="2" l="1"/>
  <c r="R66" i="2"/>
  <c r="T66" i="2" s="1"/>
  <c r="S67" i="2"/>
  <c r="O67" i="2"/>
  <c r="R67" i="2" l="1"/>
  <c r="P67" i="2"/>
  <c r="Q67" i="2" s="1"/>
  <c r="S68" i="2"/>
  <c r="O68" i="2"/>
  <c r="R68" i="2" l="1"/>
  <c r="P68" i="2"/>
  <c r="S69" i="2"/>
  <c r="O69" i="2"/>
  <c r="T67" i="2"/>
  <c r="T68" i="2" l="1"/>
  <c r="P69" i="2"/>
  <c r="Q69" i="2" s="1"/>
  <c r="R69" i="2"/>
  <c r="S70" i="2"/>
  <c r="O70" i="2"/>
  <c r="Q68" i="2"/>
  <c r="T69" i="2" l="1"/>
  <c r="R70" i="2"/>
  <c r="P70" i="2"/>
  <c r="O71" i="2"/>
  <c r="S71" i="2"/>
  <c r="T70" i="2" l="1"/>
  <c r="P71" i="2"/>
  <c r="Q71" i="2" s="1"/>
  <c r="R71" i="2"/>
  <c r="Q70" i="2"/>
  <c r="S72" i="2"/>
  <c r="O72" i="2"/>
  <c r="P72" i="2" s="1"/>
  <c r="Q72" i="2" s="1"/>
  <c r="T71" i="2" l="1"/>
  <c r="R72" i="2"/>
  <c r="T72" i="2" s="1"/>
  <c r="O73" i="2"/>
  <c r="S73" i="2"/>
  <c r="P73" i="2" l="1"/>
  <c r="Q73" i="2" s="1"/>
  <c r="R73" i="2"/>
  <c r="S74" i="2"/>
  <c r="O74" i="2"/>
  <c r="T73" i="2" l="1"/>
  <c r="S75" i="2"/>
  <c r="O75" i="2"/>
  <c r="R74" i="2"/>
  <c r="P74" i="2"/>
  <c r="Q74" i="2" s="1"/>
  <c r="T74" i="2" l="1"/>
  <c r="P75" i="2"/>
  <c r="Q75" i="2" s="1"/>
  <c r="R75" i="2"/>
  <c r="O76" i="2"/>
  <c r="S76" i="2"/>
  <c r="T75" i="2" l="1"/>
  <c r="R76" i="2"/>
  <c r="P76" i="2"/>
  <c r="O77" i="2"/>
  <c r="S77" i="2"/>
  <c r="T76" i="2" l="1"/>
  <c r="R77" i="2"/>
  <c r="P77" i="2"/>
  <c r="Q77" i="2" s="1"/>
  <c r="O78" i="2"/>
  <c r="S78" i="2"/>
  <c r="Q76" i="2"/>
  <c r="R78" i="2" l="1"/>
  <c r="P78" i="2"/>
  <c r="O79" i="2"/>
  <c r="S79" i="2"/>
  <c r="T77" i="2"/>
  <c r="T78" i="2" l="1"/>
  <c r="P79" i="2"/>
  <c r="Q79" i="2" s="1"/>
  <c r="S80" i="2"/>
  <c r="O80" i="2"/>
  <c r="R79" i="2"/>
  <c r="Q78" i="2"/>
  <c r="T79" i="2" l="1"/>
  <c r="R80" i="2"/>
  <c r="P80" i="2"/>
  <c r="Q80" i="2" s="1"/>
  <c r="S81" i="2"/>
  <c r="O81" i="2"/>
  <c r="P81" i="2" l="1"/>
  <c r="Q81" i="2" s="1"/>
  <c r="R81" i="2"/>
  <c r="S82" i="2"/>
  <c r="O82" i="2"/>
  <c r="T80" i="2"/>
  <c r="T81" i="2" l="1"/>
  <c r="R82" i="2"/>
  <c r="P82" i="2"/>
  <c r="Q82" i="2" s="1"/>
  <c r="O83" i="2"/>
  <c r="S83" i="2"/>
  <c r="R83" i="2" l="1"/>
  <c r="P83" i="2"/>
  <c r="Q83" i="2" s="1"/>
  <c r="S84" i="2"/>
  <c r="O84" i="2"/>
  <c r="P84" i="2" s="1"/>
  <c r="Q84" i="2" s="1"/>
  <c r="T82" i="2"/>
  <c r="R84" i="2" l="1"/>
  <c r="T84" i="2" s="1"/>
  <c r="S85" i="2"/>
  <c r="O85" i="2"/>
  <c r="T83" i="2"/>
  <c r="P85" i="2" l="1"/>
  <c r="Q85" i="2" s="1"/>
  <c r="R85" i="2"/>
  <c r="S86" i="2"/>
  <c r="O86" i="2"/>
  <c r="T85" i="2" l="1"/>
  <c r="R86" i="2"/>
  <c r="P86" i="2"/>
  <c r="S87" i="2"/>
  <c r="O87" i="2"/>
  <c r="T86" i="2" l="1"/>
  <c r="P87" i="2"/>
  <c r="Q87" i="2" s="1"/>
  <c r="R87" i="2"/>
  <c r="Q86" i="2"/>
  <c r="T87" i="2" l="1"/>
  <c r="D29" i="2" l="1"/>
  <c r="E29" i="2" l="1"/>
  <c r="F29" i="2" s="1"/>
  <c r="H29" i="2"/>
  <c r="G29" i="2" s="1"/>
  <c r="B49" i="2" l="1"/>
  <c r="J49" i="2" s="1"/>
  <c r="I29" i="2"/>
  <c r="H30" i="2"/>
  <c r="D30" i="2"/>
  <c r="E30" i="2" l="1"/>
  <c r="F30" i="2" s="1"/>
  <c r="H31" i="2"/>
  <c r="D31" i="2"/>
  <c r="G30" i="2"/>
  <c r="I30" i="2" l="1"/>
  <c r="B50" i="2"/>
  <c r="J50" i="2" s="1"/>
  <c r="H32" i="2"/>
  <c r="D32" i="2"/>
  <c r="G31" i="2"/>
  <c r="E31" i="2"/>
  <c r="I31" i="2" l="1"/>
  <c r="E32" i="2"/>
  <c r="F32" i="2" s="1"/>
  <c r="G32" i="2"/>
  <c r="D33" i="2"/>
  <c r="E33" i="2" s="1"/>
  <c r="F33" i="2" s="1"/>
  <c r="H33" i="2"/>
  <c r="F31" i="2"/>
  <c r="I32" i="2" l="1"/>
  <c r="B51" i="2"/>
  <c r="J51" i="2" s="1"/>
  <c r="G33" i="2"/>
  <c r="I33" i="2" s="1"/>
  <c r="D34" i="2"/>
  <c r="H34" i="2"/>
  <c r="B52" i="2" l="1"/>
  <c r="G34" i="2"/>
  <c r="E34" i="2"/>
  <c r="H35" i="2"/>
  <c r="D35" i="2"/>
  <c r="E35" i="2" s="1"/>
  <c r="F35" i="2" s="1"/>
  <c r="J52" i="2" l="1"/>
  <c r="I34" i="2"/>
  <c r="G35" i="2"/>
  <c r="I35" i="2" s="1"/>
  <c r="F34" i="2"/>
  <c r="H36" i="2"/>
  <c r="D36" i="2"/>
  <c r="E36" i="2" l="1"/>
  <c r="F36" i="2" s="1"/>
  <c r="H37" i="2"/>
  <c r="D37" i="2"/>
  <c r="E37" i="2" s="1"/>
  <c r="F37" i="2" s="1"/>
  <c r="G36" i="2"/>
  <c r="I36" i="2" l="1"/>
  <c r="D38" i="2"/>
  <c r="H38" i="2"/>
  <c r="G37" i="2"/>
  <c r="I37" i="2" s="1"/>
  <c r="G38" i="2" l="1"/>
  <c r="E38" i="2"/>
  <c r="D39" i="2"/>
  <c r="E39" i="2" s="1"/>
  <c r="F39" i="2" s="1"/>
  <c r="H39" i="2"/>
  <c r="I38" i="2" l="1"/>
  <c r="G39" i="2"/>
  <c r="I39" i="2" s="1"/>
  <c r="F38" i="2"/>
  <c r="H40" i="2"/>
  <c r="D40" i="2"/>
  <c r="H41" i="2" l="1"/>
  <c r="D41" i="2"/>
  <c r="E41" i="2" s="1"/>
  <c r="F41" i="2" s="1"/>
  <c r="E40" i="2"/>
  <c r="F40" i="2" s="1"/>
  <c r="G40" i="2"/>
  <c r="I40" i="2" l="1"/>
  <c r="G41" i="2"/>
  <c r="I41" i="2" s="1"/>
  <c r="D42" i="2"/>
  <c r="H42" i="2"/>
  <c r="G42" i="2" l="1"/>
  <c r="E42" i="2"/>
  <c r="H43" i="2"/>
  <c r="D43" i="2"/>
  <c r="E43" i="2" s="1"/>
  <c r="F43" i="2" s="1"/>
  <c r="I42" i="2" l="1"/>
  <c r="F42" i="2"/>
  <c r="H44" i="2"/>
  <c r="D44" i="2"/>
  <c r="G43" i="2"/>
  <c r="I43" i="2" s="1"/>
  <c r="E44" i="2" l="1"/>
  <c r="F44" i="2" s="1"/>
  <c r="G44" i="2"/>
  <c r="H45" i="2"/>
  <c r="D45" i="2"/>
  <c r="E45" i="2" s="1"/>
  <c r="F45" i="2" s="1"/>
  <c r="I44" i="2" l="1"/>
  <c r="G45" i="2"/>
  <c r="I45" i="2" s="1"/>
  <c r="H46" i="2"/>
  <c r="D46" i="2"/>
  <c r="E46" i="2" s="1"/>
  <c r="F46" i="2" l="1"/>
  <c r="G46" i="2"/>
  <c r="I46" i="2" s="1"/>
  <c r="H47" i="2"/>
  <c r="D47" i="2"/>
  <c r="E47" i="2" s="1"/>
  <c r="F47" i="2" s="1"/>
  <c r="G47" i="2" l="1"/>
  <c r="I47" i="2" s="1"/>
  <c r="H48" i="2"/>
  <c r="D48" i="2"/>
  <c r="E48" i="2" l="1"/>
  <c r="F48" i="2" s="1"/>
  <c r="G48" i="2"/>
  <c r="D49" i="2"/>
  <c r="E49" i="2" s="1"/>
  <c r="F49" i="2" s="1"/>
  <c r="H49" i="2"/>
  <c r="I48" i="2" l="1"/>
  <c r="G49" i="2"/>
  <c r="I49" i="2" s="1"/>
  <c r="D50" i="2"/>
  <c r="E50" i="2" s="1"/>
  <c r="H50" i="2"/>
  <c r="G50" i="2" l="1"/>
  <c r="I50" i="2" s="1"/>
  <c r="F50" i="2"/>
  <c r="H51" i="2"/>
  <c r="D51" i="2"/>
  <c r="E51" i="2" s="1"/>
  <c r="F51" i="2" s="1"/>
  <c r="G51" i="2" l="1"/>
  <c r="I51" i="2" s="1"/>
  <c r="D52" i="2"/>
  <c r="H52" i="2"/>
  <c r="G52" i="2" l="1"/>
  <c r="E52" i="2"/>
  <c r="F52" i="2" s="1"/>
  <c r="D53" i="2"/>
  <c r="E53" i="2" s="1"/>
  <c r="F53" i="2" s="1"/>
  <c r="H53" i="2"/>
  <c r="G53" i="2" l="1"/>
  <c r="I53" i="2" s="1"/>
  <c r="I52" i="2"/>
  <c r="Q99" i="2" l="1"/>
  <c r="Q100" i="2"/>
  <c r="Q101" i="2" l="1"/>
  <c r="Q102" i="2" l="1"/>
  <c r="Q103" i="2" l="1"/>
  <c r="Q104" i="2" l="1"/>
  <c r="Q105" i="2" l="1"/>
  <c r="Q106" i="2"/>
  <c r="Q108" i="2" l="1"/>
  <c r="Q107" i="2" l="1"/>
  <c r="Q109" i="2"/>
  <c r="Q110" i="2" l="1"/>
  <c r="Q111" i="2" l="1"/>
  <c r="Q112" i="2" l="1"/>
  <c r="F105" i="2" l="1"/>
  <c r="F104" i="2"/>
  <c r="H94" i="2"/>
  <c r="H93" i="2"/>
  <c r="H97" i="2"/>
  <c r="D95" i="2"/>
  <c r="H98" i="2"/>
  <c r="D98" i="2"/>
  <c r="E98" i="2" s="1"/>
  <c r="H91" i="2"/>
  <c r="H88" i="2"/>
  <c r="D88" i="2"/>
  <c r="E88" i="2" s="1"/>
  <c r="H95" i="2"/>
  <c r="D96" i="2"/>
  <c r="D91" i="2"/>
  <c r="D97" i="2"/>
  <c r="D94" i="2"/>
  <c r="E94" i="2" s="1"/>
  <c r="D93" i="2"/>
  <c r="D92" i="2"/>
  <c r="H92" i="2"/>
  <c r="H90" i="2"/>
  <c r="D90" i="2"/>
  <c r="E90" i="2" s="1"/>
  <c r="H89" i="2"/>
  <c r="D89" i="2"/>
  <c r="H96" i="2"/>
  <c r="F109" i="2"/>
  <c r="F106" i="2"/>
  <c r="F102" i="2"/>
  <c r="F99" i="2"/>
  <c r="H54" i="2"/>
  <c r="G91" i="2" l="1"/>
  <c r="G98" i="2"/>
  <c r="I98" i="2" s="1"/>
  <c r="G90" i="2"/>
  <c r="I90" i="2" s="1"/>
  <c r="G96" i="2"/>
  <c r="G88" i="2"/>
  <c r="I88" i="2" s="1"/>
  <c r="G97" i="2"/>
  <c r="G89" i="2"/>
  <c r="G95" i="2"/>
  <c r="G93" i="2"/>
  <c r="F108" i="2"/>
  <c r="F100" i="2"/>
  <c r="F90" i="2"/>
  <c r="F94" i="2"/>
  <c r="E89" i="2"/>
  <c r="E97" i="2"/>
  <c r="F88" i="2"/>
  <c r="G92" i="2"/>
  <c r="G94" i="2"/>
  <c r="I94" i="2" s="1"/>
  <c r="F98" i="2"/>
  <c r="E92" i="2"/>
  <c r="F92" i="2" s="1"/>
  <c r="E91" i="2"/>
  <c r="E95" i="2"/>
  <c r="F95" i="2" s="1"/>
  <c r="F101" i="2"/>
  <c r="F112" i="2"/>
  <c r="D54" i="2"/>
  <c r="G54" i="2" s="1"/>
  <c r="E93" i="2"/>
  <c r="F93" i="2" s="1"/>
  <c r="E96" i="2"/>
  <c r="F96" i="2" s="1"/>
  <c r="I91" i="2" l="1"/>
  <c r="F111" i="2"/>
  <c r="F107" i="2"/>
  <c r="F110" i="2"/>
  <c r="F103" i="2"/>
  <c r="I97" i="2"/>
  <c r="I92" i="2"/>
  <c r="I89" i="2"/>
  <c r="D55" i="2"/>
  <c r="H55" i="2"/>
  <c r="F91" i="2"/>
  <c r="F97" i="2"/>
  <c r="F89" i="2"/>
  <c r="I93" i="2"/>
  <c r="I95" i="2"/>
  <c r="I96" i="2"/>
  <c r="E54" i="2"/>
  <c r="I54" i="2" s="1"/>
  <c r="G55" i="2" l="1"/>
  <c r="F54" i="2"/>
  <c r="H56" i="2"/>
  <c r="D56" i="2"/>
  <c r="E55" i="2"/>
  <c r="I55" i="2" l="1"/>
  <c r="F55" i="2"/>
  <c r="H57" i="2"/>
  <c r="D57" i="2"/>
  <c r="E56" i="2"/>
  <c r="F56" i="2" s="1"/>
  <c r="G56" i="2"/>
  <c r="I56" i="2" l="1"/>
  <c r="H58" i="2"/>
  <c r="D58" i="2"/>
  <c r="E57" i="2"/>
  <c r="F57" i="2" s="1"/>
  <c r="G57" i="2"/>
  <c r="I57" i="2" l="1"/>
  <c r="E58" i="2"/>
  <c r="F58" i="2" s="1"/>
  <c r="H59" i="2"/>
  <c r="D59" i="2"/>
  <c r="G58" i="2"/>
  <c r="I58" i="2" l="1"/>
  <c r="E59" i="2"/>
  <c r="F59" i="2" s="1"/>
  <c r="D60" i="2"/>
  <c r="H60" i="2"/>
  <c r="G59" i="2"/>
  <c r="I59" i="2" l="1"/>
  <c r="G60" i="2"/>
  <c r="E60" i="2"/>
  <c r="F60" i="2" s="1"/>
  <c r="D61" i="2"/>
  <c r="H61" i="2"/>
  <c r="I60" i="2" l="1"/>
  <c r="G61" i="2"/>
  <c r="E61" i="2"/>
  <c r="H62" i="2"/>
  <c r="D62" i="2"/>
  <c r="I61" i="2" l="1"/>
  <c r="F61" i="2"/>
  <c r="E62" i="2"/>
  <c r="F62" i="2" s="1"/>
  <c r="G62" i="2"/>
  <c r="H63" i="2"/>
  <c r="D63" i="2"/>
  <c r="I62" i="2" l="1"/>
  <c r="H64" i="2"/>
  <c r="D64" i="2"/>
  <c r="E63" i="2"/>
  <c r="F63" i="2" s="1"/>
  <c r="G63" i="2"/>
  <c r="I63" i="2" l="1"/>
  <c r="E64" i="2"/>
  <c r="F64" i="2" s="1"/>
  <c r="D65" i="2"/>
  <c r="H65" i="2"/>
  <c r="G64" i="2"/>
  <c r="I64" i="2" l="1"/>
  <c r="G65" i="2"/>
  <c r="E65" i="2"/>
  <c r="D66" i="2"/>
  <c r="H66" i="2"/>
  <c r="I65" i="2" l="1"/>
  <c r="G66" i="2"/>
  <c r="F65" i="2"/>
  <c r="H67" i="2"/>
  <c r="D67" i="2"/>
  <c r="E66" i="2"/>
  <c r="I66" i="2" l="1"/>
  <c r="F66" i="2"/>
  <c r="E67" i="2"/>
  <c r="F67" i="2" s="1"/>
  <c r="D68" i="2"/>
  <c r="H68" i="2"/>
  <c r="G67" i="2"/>
  <c r="I67" i="2" l="1"/>
  <c r="G68" i="2"/>
  <c r="D69" i="2"/>
  <c r="H69" i="2"/>
  <c r="E68" i="2"/>
  <c r="I68" i="2" l="1"/>
  <c r="F68" i="2"/>
  <c r="H70" i="2"/>
  <c r="D70" i="2"/>
  <c r="G69" i="2"/>
  <c r="E69" i="2"/>
  <c r="F69" i="2" s="1"/>
  <c r="I69" i="2" l="1"/>
  <c r="E70" i="2"/>
  <c r="F70" i="2" s="1"/>
  <c r="H71" i="2"/>
  <c r="D71" i="2"/>
  <c r="G70" i="2"/>
  <c r="I70" i="2" l="1"/>
  <c r="E71" i="2"/>
  <c r="F71" i="2" s="1"/>
  <c r="H72" i="2"/>
  <c r="D72" i="2"/>
  <c r="G71" i="2"/>
  <c r="I71" i="2" l="1"/>
  <c r="E72" i="2"/>
  <c r="F72" i="2" s="1"/>
  <c r="H73" i="2"/>
  <c r="D73" i="2"/>
  <c r="G72" i="2"/>
  <c r="I72" i="2" l="1"/>
  <c r="H74" i="2"/>
  <c r="D74" i="2"/>
  <c r="E73" i="2"/>
  <c r="F73" i="2" s="1"/>
  <c r="G73" i="2"/>
  <c r="I73" i="2" l="1"/>
  <c r="D75" i="2"/>
  <c r="H75" i="2"/>
  <c r="E74" i="2"/>
  <c r="F74" i="2" s="1"/>
  <c r="G74" i="2"/>
  <c r="G75" i="2" l="1"/>
  <c r="I74" i="2"/>
  <c r="H76" i="2"/>
  <c r="D76" i="2"/>
  <c r="E75" i="2"/>
  <c r="I75" i="2" l="1"/>
  <c r="F75" i="2"/>
  <c r="E76" i="2"/>
  <c r="F76" i="2" s="1"/>
  <c r="D77" i="2"/>
  <c r="H77" i="2"/>
  <c r="G76" i="2"/>
  <c r="I76" i="2" l="1"/>
  <c r="G77" i="2"/>
  <c r="D78" i="2"/>
  <c r="H78" i="2"/>
  <c r="E77" i="2"/>
  <c r="I77" i="2" l="1"/>
  <c r="G78" i="2"/>
  <c r="F77" i="2"/>
  <c r="D79" i="2"/>
  <c r="H79" i="2"/>
  <c r="E78" i="2"/>
  <c r="I78" i="2" l="1"/>
  <c r="G79" i="2"/>
  <c r="F78" i="2"/>
  <c r="E79" i="2"/>
  <c r="D80" i="2"/>
  <c r="H80" i="2"/>
  <c r="I79" i="2" l="1"/>
  <c r="G80" i="2"/>
  <c r="F79" i="2"/>
  <c r="H81" i="2"/>
  <c r="D81" i="2"/>
  <c r="E80" i="2"/>
  <c r="I80" i="2" l="1"/>
  <c r="F80" i="2"/>
  <c r="D82" i="2"/>
  <c r="H82" i="2"/>
  <c r="E81" i="2"/>
  <c r="F81" i="2" s="1"/>
  <c r="G81" i="2"/>
  <c r="G82" i="2" l="1"/>
  <c r="I81" i="2"/>
  <c r="H83" i="2"/>
  <c r="D83" i="2"/>
  <c r="E82" i="2"/>
  <c r="I82" i="2" l="1"/>
  <c r="F82" i="2"/>
  <c r="E83" i="2"/>
  <c r="F83" i="2" s="1"/>
  <c r="H84" i="2"/>
  <c r="D84" i="2"/>
  <c r="G83" i="2"/>
  <c r="I83" i="2" l="1"/>
  <c r="H85" i="2"/>
  <c r="D85" i="2"/>
  <c r="E84" i="2"/>
  <c r="F84" i="2" s="1"/>
  <c r="G84" i="2"/>
  <c r="I84" i="2" l="1"/>
  <c r="E85" i="2"/>
  <c r="F85" i="2" s="1"/>
  <c r="H86" i="2"/>
  <c r="D86" i="2"/>
  <c r="G85" i="2"/>
  <c r="I85" i="2" l="1"/>
  <c r="H87" i="2"/>
  <c r="D87" i="2"/>
  <c r="E86" i="2"/>
  <c r="F86" i="2" s="1"/>
  <c r="G86" i="2"/>
  <c r="I86" i="2" l="1"/>
  <c r="E87" i="2"/>
  <c r="F87" i="2" s="1"/>
  <c r="G87" i="2"/>
  <c r="I87" i="2" l="1"/>
  <c r="S53" i="7" l="1"/>
  <c r="O53" i="7"/>
  <c r="P53" i="7" l="1"/>
  <c r="Q53" i="7" s="1"/>
  <c r="R53" i="7" s="1"/>
  <c r="T53" i="7" l="1"/>
  <c r="N54" i="7"/>
  <c r="N55" i="7" s="1"/>
  <c r="S55" i="7" l="1"/>
  <c r="O55" i="7"/>
  <c r="N56" i="7"/>
  <c r="O54" i="7"/>
  <c r="S54" i="7"/>
  <c r="P54" i="7" l="1"/>
  <c r="Q54" i="7" s="1"/>
  <c r="R54" i="7" s="1"/>
  <c r="T54" i="7" s="1"/>
  <c r="P55" i="7"/>
  <c r="Q55" i="7" s="1"/>
  <c r="R55" i="7" s="1"/>
  <c r="T55" i="7" s="1"/>
  <c r="S56" i="7"/>
  <c r="N57" i="7"/>
  <c r="O56" i="7"/>
  <c r="S57" i="7" l="1"/>
  <c r="O57" i="7"/>
  <c r="N58" i="7"/>
  <c r="P56" i="7"/>
  <c r="Q56" i="7" s="1"/>
  <c r="R56" i="7" s="1"/>
  <c r="T56" i="7" l="1"/>
  <c r="N59" i="7"/>
  <c r="S58" i="7"/>
  <c r="O58" i="7"/>
  <c r="P57" i="7"/>
  <c r="Q57" i="7" s="1"/>
  <c r="R57" i="7" s="1"/>
  <c r="T57" i="7" s="1"/>
  <c r="P58" i="7" l="1"/>
  <c r="Q58" i="7" s="1"/>
  <c r="R58" i="7" s="1"/>
  <c r="T58" i="7" s="1"/>
  <c r="N60" i="7"/>
  <c r="S59" i="7"/>
  <c r="O59" i="7"/>
  <c r="P59" i="7" l="1"/>
  <c r="Q59" i="7" s="1"/>
  <c r="R59" i="7" s="1"/>
  <c r="T59" i="7" s="1"/>
  <c r="N61" i="7"/>
  <c r="S60" i="7"/>
  <c r="O60" i="7"/>
  <c r="P60" i="7" l="1"/>
  <c r="Q60" i="7" s="1"/>
  <c r="R60" i="7" s="1"/>
  <c r="T60" i="7" s="1"/>
  <c r="N62" i="7"/>
  <c r="S61" i="7"/>
  <c r="O61" i="7"/>
  <c r="P61" i="7" l="1"/>
  <c r="Q61" i="7" s="1"/>
  <c r="R61" i="7" s="1"/>
  <c r="T61" i="7" s="1"/>
  <c r="N63" i="7"/>
  <c r="S62" i="7"/>
  <c r="O62" i="7"/>
  <c r="P62" i="7" l="1"/>
  <c r="Q62" i="7" s="1"/>
  <c r="R62" i="7" s="1"/>
  <c r="T62" i="7" s="1"/>
  <c r="S63" i="7"/>
  <c r="O63" i="7"/>
  <c r="N64" i="7"/>
  <c r="N65" i="7" l="1"/>
  <c r="S64" i="7"/>
  <c r="O64" i="7"/>
  <c r="P63" i="7"/>
  <c r="Q63" i="7" s="1"/>
  <c r="R63" i="7" s="1"/>
  <c r="T63" i="7" s="1"/>
  <c r="P64" i="7" l="1"/>
  <c r="Q64" i="7" s="1"/>
  <c r="R64" i="7" s="1"/>
  <c r="T64" i="7" s="1"/>
  <c r="S65" i="7"/>
  <c r="N66" i="7"/>
  <c r="O65" i="7"/>
  <c r="P65" i="7" l="1"/>
  <c r="Q65" i="7" s="1"/>
  <c r="R65" i="7" s="1"/>
  <c r="T65" i="7" s="1"/>
  <c r="N67" i="7"/>
  <c r="S66" i="7"/>
  <c r="O66" i="7"/>
  <c r="P66" i="7" l="1"/>
  <c r="Q66" i="7" s="1"/>
  <c r="R66" i="7" s="1"/>
  <c r="T66" i="7" s="1"/>
  <c r="S67" i="7"/>
  <c r="O67" i="7"/>
  <c r="N68" i="7"/>
  <c r="S68" i="7" l="1"/>
  <c r="N69" i="7"/>
  <c r="O68" i="7"/>
  <c r="P67" i="7"/>
  <c r="Q67" i="7" s="1"/>
  <c r="R67" i="7" s="1"/>
  <c r="T67" i="7" s="1"/>
  <c r="P68" i="7" l="1"/>
  <c r="Q68" i="7" s="1"/>
  <c r="R68" i="7" s="1"/>
  <c r="T68" i="7" s="1"/>
  <c r="S69" i="7"/>
  <c r="O69" i="7"/>
  <c r="N70" i="7"/>
  <c r="N71" i="7" l="1"/>
  <c r="S70" i="7"/>
  <c r="O70" i="7"/>
  <c r="P69" i="7"/>
  <c r="Q69" i="7" s="1"/>
  <c r="R69" i="7" s="1"/>
  <c r="T69" i="7" s="1"/>
  <c r="P70" i="7" l="1"/>
  <c r="Q70" i="7" s="1"/>
  <c r="R70" i="7" s="1"/>
  <c r="T70" i="7" s="1"/>
  <c r="N72" i="7"/>
  <c r="S71" i="7"/>
  <c r="O71" i="7"/>
  <c r="P71" i="7" l="1"/>
  <c r="Q71" i="7" s="1"/>
  <c r="R71" i="7" s="1"/>
  <c r="T71" i="7" s="1"/>
  <c r="N73" i="7"/>
  <c r="S72" i="7"/>
  <c r="O72" i="7"/>
  <c r="P72" i="7" l="1"/>
  <c r="Q72" i="7" s="1"/>
  <c r="R72" i="7" s="1"/>
  <c r="T72" i="7" s="1"/>
  <c r="S73" i="7"/>
  <c r="O73" i="7"/>
  <c r="N74" i="7"/>
  <c r="N75" i="7" l="1"/>
  <c r="S74" i="7"/>
  <c r="O74" i="7"/>
  <c r="P73" i="7"/>
  <c r="Q73" i="7" s="1"/>
  <c r="R73" i="7" s="1"/>
  <c r="T73" i="7" s="1"/>
  <c r="P74" i="7" l="1"/>
  <c r="Q74" i="7" s="1"/>
  <c r="R74" i="7" s="1"/>
  <c r="T74" i="7" s="1"/>
  <c r="S75" i="7"/>
  <c r="O75" i="7"/>
  <c r="N76" i="7"/>
  <c r="N77" i="7" l="1"/>
  <c r="S76" i="7"/>
  <c r="O76" i="7"/>
  <c r="P75" i="7"/>
  <c r="Q75" i="7" s="1"/>
  <c r="R75" i="7" s="1"/>
  <c r="T75" i="7" s="1"/>
  <c r="P76" i="7" l="1"/>
  <c r="Q76" i="7" s="1"/>
  <c r="R76" i="7" s="1"/>
  <c r="T76" i="7" s="1"/>
  <c r="N78" i="7"/>
  <c r="S77" i="7"/>
  <c r="O77" i="7"/>
  <c r="P77" i="7" l="1"/>
  <c r="Q77" i="7" s="1"/>
  <c r="R77" i="7" s="1"/>
  <c r="T77" i="7" s="1"/>
  <c r="S78" i="7"/>
  <c r="O78" i="7"/>
  <c r="N79" i="7"/>
  <c r="P78" i="7" l="1"/>
  <c r="Q78" i="7" s="1"/>
  <c r="R78" i="7" s="1"/>
  <c r="F49" i="1" s="1"/>
  <c r="F51" i="1" s="1"/>
  <c r="N80" i="7"/>
  <c r="S79" i="7"/>
  <c r="O79" i="7"/>
  <c r="T78" i="7" l="1"/>
  <c r="P79" i="7"/>
  <c r="Q79" i="7" s="1"/>
  <c r="R79" i="7" s="1"/>
  <c r="T79" i="7" s="1"/>
  <c r="S80" i="7"/>
  <c r="O80" i="7"/>
  <c r="N81" i="7"/>
  <c r="P80" i="7" l="1"/>
  <c r="Q80" i="7" s="1"/>
  <c r="R80" i="7" s="1"/>
  <c r="T80" i="7" s="1"/>
  <c r="S81" i="7"/>
  <c r="N82" i="7"/>
  <c r="O81" i="7"/>
  <c r="P81" i="7" l="1"/>
  <c r="Q81" i="7" s="1"/>
  <c r="R81" i="7" s="1"/>
  <c r="T81" i="7" s="1"/>
  <c r="N83" i="7"/>
  <c r="S82" i="7"/>
  <c r="O82" i="7"/>
  <c r="P82" i="7" l="1"/>
  <c r="Q82" i="7" s="1"/>
  <c r="R82" i="7" s="1"/>
  <c r="T82" i="7" s="1"/>
  <c r="N84" i="7"/>
  <c r="S83" i="7"/>
  <c r="O83" i="7"/>
  <c r="P83" i="7" l="1"/>
  <c r="Q83" i="7" s="1"/>
  <c r="R83" i="7" s="1"/>
  <c r="T83" i="7" s="1"/>
  <c r="S84" i="7"/>
  <c r="O84" i="7"/>
  <c r="N85" i="7"/>
  <c r="N86" i="7" l="1"/>
  <c r="S85" i="7"/>
  <c r="O85" i="7"/>
  <c r="P84" i="7"/>
  <c r="Q84" i="7" s="1"/>
  <c r="R84" i="7" s="1"/>
  <c r="T84" i="7" s="1"/>
  <c r="P85" i="7" l="1"/>
  <c r="Q85" i="7" s="1"/>
  <c r="R85" i="7" s="1"/>
  <c r="T85" i="7" s="1"/>
  <c r="S86" i="7"/>
  <c r="N87" i="7"/>
  <c r="O86" i="7"/>
  <c r="P86" i="7" l="1"/>
  <c r="Q86" i="7" s="1"/>
  <c r="R86" i="7" s="1"/>
  <c r="T86" i="7" s="1"/>
  <c r="N88" i="7"/>
  <c r="S87" i="7"/>
  <c r="O87" i="7"/>
  <c r="P87" i="7" l="1"/>
  <c r="Q87" i="7" s="1"/>
  <c r="R87" i="7" s="1"/>
  <c r="T87" i="7" s="1"/>
  <c r="S88" i="7"/>
  <c r="O88" i="7"/>
  <c r="N89" i="7"/>
  <c r="N90" i="7" l="1"/>
  <c r="S89" i="7"/>
  <c r="O89" i="7"/>
  <c r="P88" i="7"/>
  <c r="Q88" i="7" s="1"/>
  <c r="R88" i="7" s="1"/>
  <c r="T88" i="7" s="1"/>
  <c r="P89" i="7" l="1"/>
  <c r="Q89" i="7" s="1"/>
  <c r="R89" i="7" s="1"/>
  <c r="T89" i="7" s="1"/>
  <c r="S90" i="7"/>
  <c r="O90" i="7"/>
  <c r="N91" i="7"/>
  <c r="N92" i="7" l="1"/>
  <c r="S91" i="7"/>
  <c r="O91" i="7"/>
  <c r="P90" i="7"/>
  <c r="Q90" i="7" s="1"/>
  <c r="R90" i="7" s="1"/>
  <c r="T90" i="7" s="1"/>
  <c r="P91" i="7" l="1"/>
  <c r="Q91" i="7" s="1"/>
  <c r="R91" i="7" s="1"/>
  <c r="T91" i="7" s="1"/>
  <c r="S92" i="7"/>
  <c r="O92" i="7"/>
  <c r="N93" i="7"/>
  <c r="S93" i="7" l="1"/>
  <c r="N94" i="7"/>
  <c r="O93" i="7"/>
  <c r="P92" i="7"/>
  <c r="Q92" i="7" s="1"/>
  <c r="R92" i="7" s="1"/>
  <c r="T92" i="7" s="1"/>
  <c r="P93" i="7" l="1"/>
  <c r="Q93" i="7" s="1"/>
  <c r="R93" i="7" s="1"/>
  <c r="T93" i="7" s="1"/>
  <c r="N95" i="7"/>
  <c r="S94" i="7"/>
  <c r="O94" i="7"/>
  <c r="P94" i="7" l="1"/>
  <c r="S95" i="7"/>
  <c r="N96" i="7"/>
  <c r="O95" i="7"/>
  <c r="P95" i="7" l="1"/>
  <c r="Q95" i="7" s="1"/>
  <c r="R95" i="7" s="1"/>
  <c r="T95" i="7" s="1"/>
  <c r="N97" i="7"/>
  <c r="S96" i="7"/>
  <c r="O96" i="7"/>
  <c r="Q94" i="7"/>
  <c r="R94" i="7" s="1"/>
  <c r="T94" i="7" s="1"/>
  <c r="P96" i="7" l="1"/>
  <c r="Q96" i="7" s="1"/>
  <c r="R96" i="7" s="1"/>
  <c r="T96" i="7" s="1"/>
  <c r="S97" i="7"/>
  <c r="O97" i="7"/>
  <c r="N98" i="7"/>
  <c r="N99" i="7" s="1"/>
  <c r="O99" i="7" l="1"/>
  <c r="P99" i="7" s="1"/>
  <c r="Q99" i="7" s="1"/>
  <c r="R99" i="7" s="1"/>
  <c r="N100" i="7"/>
  <c r="S99" i="7"/>
  <c r="S98" i="7"/>
  <c r="O98" i="7"/>
  <c r="P97" i="7"/>
  <c r="Q97" i="7" s="1"/>
  <c r="R97" i="7" s="1"/>
  <c r="T97" i="7" s="1"/>
  <c r="S100" i="7" l="1"/>
  <c r="N101" i="7"/>
  <c r="O100" i="7"/>
  <c r="P100" i="7" s="1"/>
  <c r="Q100" i="7" s="1"/>
  <c r="R100" i="7" s="1"/>
  <c r="T99" i="7"/>
  <c r="P98" i="7"/>
  <c r="Q98" i="7" s="1"/>
  <c r="R98" i="7" s="1"/>
  <c r="T98" i="7" s="1"/>
  <c r="T100" i="7" l="1"/>
  <c r="O101" i="7"/>
  <c r="P101" i="7" s="1"/>
  <c r="Q101" i="7" s="1"/>
  <c r="R101" i="7" s="1"/>
  <c r="N102" i="7"/>
  <c r="S101" i="7"/>
  <c r="O102" i="7" l="1"/>
  <c r="P102" i="7" s="1"/>
  <c r="Q102" i="7" s="1"/>
  <c r="R102" i="7" s="1"/>
  <c r="S102" i="7"/>
  <c r="N103" i="7"/>
  <c r="T101" i="7"/>
  <c r="T102" i="7" l="1"/>
  <c r="N104" i="7"/>
  <c r="O103" i="7"/>
  <c r="P103" i="7" s="1"/>
  <c r="Q103" i="7" s="1"/>
  <c r="R103" i="7" s="1"/>
  <c r="S103" i="7"/>
  <c r="T103" i="7" l="1"/>
  <c r="O104" i="7"/>
  <c r="P104" i="7" s="1"/>
  <c r="Q104" i="7" s="1"/>
  <c r="R104" i="7" s="1"/>
  <c r="S104" i="7"/>
  <c r="N105" i="7"/>
  <c r="T104" i="7" l="1"/>
  <c r="O105" i="7"/>
  <c r="P105" i="7" s="1"/>
  <c r="Q105" i="7" s="1"/>
  <c r="R105" i="7" s="1"/>
  <c r="S105" i="7"/>
  <c r="N106" i="7"/>
  <c r="T105" i="7" l="1"/>
  <c r="S106" i="7"/>
  <c r="N107" i="7"/>
  <c r="O106" i="7"/>
  <c r="P106" i="7" s="1"/>
  <c r="Q106" i="7" s="1"/>
  <c r="R106" i="7" s="1"/>
  <c r="T106" i="7" l="1"/>
  <c r="O107" i="7"/>
  <c r="P107" i="7" s="1"/>
  <c r="Q107" i="7" s="1"/>
  <c r="R107" i="7" s="1"/>
  <c r="N108" i="7"/>
  <c r="S107" i="7"/>
  <c r="T107" i="7" l="1"/>
  <c r="O108" i="7"/>
  <c r="P108" i="7" s="1"/>
  <c r="Q108" i="7" s="1"/>
  <c r="R108" i="7" s="1"/>
  <c r="N109" i="7"/>
  <c r="S108" i="7"/>
  <c r="T108" i="7" l="1"/>
  <c r="S109" i="7"/>
  <c r="N110" i="7"/>
  <c r="O109" i="7"/>
  <c r="P109" i="7" s="1"/>
  <c r="Q109" i="7" s="1"/>
  <c r="R109" i="7" s="1"/>
  <c r="T109" i="7" l="1"/>
  <c r="O110" i="7"/>
  <c r="N111" i="7"/>
  <c r="S110" i="7"/>
  <c r="N112" i="7" l="1"/>
  <c r="O111" i="7"/>
  <c r="P111" i="7" s="1"/>
  <c r="Q111" i="7" s="1"/>
  <c r="R111" i="7" s="1"/>
  <c r="S111" i="7"/>
  <c r="P110" i="7"/>
  <c r="Q110" i="7" s="1"/>
  <c r="R110" i="7" s="1"/>
  <c r="T110" i="7" s="1"/>
  <c r="T111" i="7" l="1"/>
  <c r="S112" i="7"/>
  <c r="O112" i="7"/>
  <c r="P112" i="7" s="1"/>
  <c r="Q112" i="7" s="1"/>
  <c r="R112" i="7" s="1"/>
  <c r="T112" i="7" s="1"/>
  <c r="F44" i="1" l="1"/>
  <c r="I53" i="7"/>
  <c r="F50" i="1" l="1"/>
  <c r="H52" i="1" s="1"/>
  <c r="J53" i="7"/>
  <c r="I46" i="1"/>
  <c r="F74" i="1" l="1"/>
  <c r="F77" i="1" s="1"/>
  <c r="F73" i="1"/>
  <c r="F53" i="1"/>
  <c r="F71" i="1"/>
  <c r="F76" i="1" l="1"/>
</calcChain>
</file>

<file path=xl/sharedStrings.xml><?xml version="1.0" encoding="utf-8"?>
<sst xmlns="http://schemas.openxmlformats.org/spreadsheetml/2006/main" count="350" uniqueCount="229">
  <si>
    <t>Key in</t>
    <phoneticPr fontId="4" type="noConversion"/>
  </si>
  <si>
    <t>Check</t>
    <phoneticPr fontId="4" type="noConversion"/>
  </si>
  <si>
    <t>System Specifications</t>
    <phoneticPr fontId="4" type="noConversion"/>
  </si>
  <si>
    <t>Minimum Input AC Voltage</t>
    <phoneticPr fontId="4" type="noConversion"/>
  </si>
  <si>
    <t>Vac_min</t>
    <phoneticPr fontId="4" type="noConversion"/>
  </si>
  <si>
    <t>Vac</t>
    <phoneticPr fontId="4" type="noConversion"/>
  </si>
  <si>
    <t>Pin</t>
    <phoneticPr fontId="4" type="noConversion"/>
  </si>
  <si>
    <t>Vin</t>
    <phoneticPr fontId="4" type="noConversion"/>
  </si>
  <si>
    <t>Maximum Input AC Voltage</t>
    <phoneticPr fontId="4" type="noConversion"/>
  </si>
  <si>
    <t>Vac_max</t>
    <phoneticPr fontId="4" type="noConversion"/>
  </si>
  <si>
    <t>Line Frequency</t>
    <phoneticPr fontId="4" type="noConversion"/>
  </si>
  <si>
    <t>fac</t>
    <phoneticPr fontId="4" type="noConversion"/>
  </si>
  <si>
    <t>Hz</t>
    <phoneticPr fontId="4" type="noConversion"/>
  </si>
  <si>
    <t>Minimum DC Voltage</t>
    <phoneticPr fontId="4" type="noConversion"/>
  </si>
  <si>
    <t>Vdc_min</t>
    <phoneticPr fontId="4" type="noConversion"/>
  </si>
  <si>
    <t>V</t>
    <phoneticPr fontId="4" type="noConversion"/>
  </si>
  <si>
    <t>Maximum DC Voltage</t>
    <phoneticPr fontId="4" type="noConversion"/>
  </si>
  <si>
    <t>Vdc_max</t>
    <phoneticPr fontId="4" type="noConversion"/>
  </si>
  <si>
    <t>V</t>
    <phoneticPr fontId="3" type="noConversion"/>
  </si>
  <si>
    <t>MPV</t>
    <phoneticPr fontId="4" type="noConversion"/>
  </si>
  <si>
    <t>Output Current</t>
    <phoneticPr fontId="4" type="noConversion"/>
  </si>
  <si>
    <t>A</t>
    <phoneticPr fontId="4" type="noConversion"/>
  </si>
  <si>
    <t>A</t>
    <phoneticPr fontId="3" type="noConversion"/>
  </si>
  <si>
    <r>
      <t xml:space="preserve">FUSE TABLE </t>
    </r>
    <r>
      <rPr>
        <sz val="11"/>
        <color theme="1"/>
        <rFont val="Arial"/>
        <family val="2"/>
      </rPr>
      <t>default Vo_max</t>
    </r>
    <phoneticPr fontId="4" type="noConversion"/>
  </si>
  <si>
    <r>
      <t xml:space="preserve">FUSE TABLE </t>
    </r>
    <r>
      <rPr>
        <sz val="11"/>
        <color theme="1"/>
        <rFont val="Arial"/>
        <family val="2"/>
      </rPr>
      <t>default LL mode</t>
    </r>
    <phoneticPr fontId="4" type="noConversion"/>
  </si>
  <si>
    <r>
      <t>FUSE TABLE</t>
    </r>
    <r>
      <rPr>
        <sz val="11"/>
        <color theme="1"/>
        <rFont val="Arial"/>
        <family val="2"/>
      </rPr>
      <t xml:space="preserve"> LL CCM Frequency</t>
    </r>
    <phoneticPr fontId="3" type="noConversion"/>
  </si>
  <si>
    <t>kHz</t>
    <phoneticPr fontId="4" type="noConversion"/>
  </si>
  <si>
    <r>
      <t xml:space="preserve">FUSE TABLE </t>
    </r>
    <r>
      <rPr>
        <sz val="11"/>
        <color theme="1"/>
        <rFont val="Arial"/>
        <family val="2"/>
      </rPr>
      <t>DCM Frequency</t>
    </r>
    <phoneticPr fontId="4" type="noConversion"/>
  </si>
  <si>
    <t>Maximum Output Power</t>
    <phoneticPr fontId="4" type="noConversion"/>
  </si>
  <si>
    <t>Po</t>
    <phoneticPr fontId="4" type="noConversion"/>
  </si>
  <si>
    <t>W</t>
    <phoneticPr fontId="4" type="noConversion"/>
  </si>
  <si>
    <t>Maximum Output Voltage</t>
    <phoneticPr fontId="4" type="noConversion"/>
  </si>
  <si>
    <t>Power Board Estimated Efficiency</t>
    <phoneticPr fontId="4" type="noConversion"/>
  </si>
  <si>
    <t>ƞ(Except the Bridge)</t>
    <phoneticPr fontId="4" type="noConversion"/>
  </si>
  <si>
    <t>%</t>
    <phoneticPr fontId="4" type="noConversion"/>
  </si>
  <si>
    <t>Maximum Input Power</t>
    <phoneticPr fontId="4" type="noConversion"/>
  </si>
  <si>
    <t>Minimum Input Capacitor (Bulk Cap)</t>
    <phoneticPr fontId="3" type="noConversion"/>
  </si>
  <si>
    <t>Cin</t>
    <phoneticPr fontId="4" type="noConversion"/>
  </si>
  <si>
    <t>uF</t>
    <phoneticPr fontId="4" type="noConversion"/>
  </si>
  <si>
    <t>Transformer&amp; Resistors</t>
    <phoneticPr fontId="4" type="noConversion"/>
  </si>
  <si>
    <t>Primary-side Winding</t>
    <phoneticPr fontId="4" type="noConversion"/>
  </si>
  <si>
    <t>Np</t>
    <phoneticPr fontId="4" type="noConversion"/>
  </si>
  <si>
    <t>Turns</t>
    <phoneticPr fontId="4" type="noConversion"/>
  </si>
  <si>
    <t>Secondary-side Winding</t>
    <phoneticPr fontId="4" type="noConversion"/>
  </si>
  <si>
    <t>Ns</t>
    <phoneticPr fontId="4" type="noConversion"/>
  </si>
  <si>
    <t>Na</t>
    <phoneticPr fontId="4" type="noConversion"/>
  </si>
  <si>
    <t>Turn Ratio</t>
    <phoneticPr fontId="4" type="noConversion"/>
  </si>
  <si>
    <t>Nps</t>
    <phoneticPr fontId="4" type="noConversion"/>
  </si>
  <si>
    <t>Primary-side Switch Stress</t>
    <phoneticPr fontId="4" type="noConversion"/>
  </si>
  <si>
    <t>Vpri_ds</t>
    <phoneticPr fontId="4" type="noConversion"/>
  </si>
  <si>
    <t>15% margin</t>
    <phoneticPr fontId="3" type="noConversion"/>
  </si>
  <si>
    <t>Secondary-side Switch Stress</t>
    <phoneticPr fontId="4" type="noConversion"/>
  </si>
  <si>
    <t>Vsec_ds</t>
    <phoneticPr fontId="4" type="noConversion"/>
  </si>
  <si>
    <t>Duty Cycle supposed LL CCM</t>
    <phoneticPr fontId="3" type="noConversion"/>
  </si>
  <si>
    <t>CCM estimate Inductance_LL fullload</t>
    <phoneticPr fontId="3" type="noConversion"/>
  </si>
  <si>
    <t>Lm_judge1</t>
    <phoneticPr fontId="4" type="noConversion"/>
  </si>
  <si>
    <t>mH</t>
    <phoneticPr fontId="4" type="noConversion"/>
  </si>
  <si>
    <t>Lm_judge2</t>
    <phoneticPr fontId="3" type="noConversion"/>
  </si>
  <si>
    <t>DCM estimate Inductance_LL fullload</t>
    <phoneticPr fontId="3" type="noConversion"/>
  </si>
  <si>
    <t>Lm_judge3</t>
    <phoneticPr fontId="4" type="noConversion"/>
  </si>
  <si>
    <t>Lm_judge4</t>
    <phoneticPr fontId="3" type="noConversion"/>
  </si>
  <si>
    <t>Inductance Select</t>
    <phoneticPr fontId="3" type="noConversion"/>
  </si>
  <si>
    <t>Lm</t>
    <phoneticPr fontId="3" type="noConversion"/>
  </si>
  <si>
    <t>CCM depth (Kr=100*Ip2/Ip1)</t>
    <phoneticPr fontId="3" type="noConversion"/>
  </si>
  <si>
    <t>%</t>
    <phoneticPr fontId="3" type="noConversion"/>
  </si>
  <si>
    <t>uS</t>
    <phoneticPr fontId="3" type="noConversion"/>
  </si>
  <si>
    <t>Frequency _LL fullload</t>
    <phoneticPr fontId="3" type="noConversion"/>
  </si>
  <si>
    <t>Primary Ipk_LL full load</t>
    <phoneticPr fontId="4" type="noConversion"/>
  </si>
  <si>
    <t>Current Sensing Resistor</t>
    <phoneticPr fontId="3" type="noConversion"/>
  </si>
  <si>
    <t>Ω</t>
    <phoneticPr fontId="4" type="noConversion"/>
  </si>
  <si>
    <t>Vcs_LL fullload</t>
    <phoneticPr fontId="3" type="noConversion"/>
  </si>
  <si>
    <t>Vcs</t>
    <phoneticPr fontId="4" type="noConversion"/>
  </si>
  <si>
    <t xml:space="preserve">Vsense Resistor </t>
    <phoneticPr fontId="4" type="noConversion"/>
  </si>
  <si>
    <t>Rvs</t>
    <phoneticPr fontId="4" type="noConversion"/>
  </si>
  <si>
    <t>kΩ</t>
    <phoneticPr fontId="4" type="noConversion"/>
  </si>
  <si>
    <t xml:space="preserve">Vcc cap charge time </t>
    <phoneticPr fontId="4" type="noConversion"/>
  </si>
  <si>
    <t>Tst</t>
  </si>
  <si>
    <t>S</t>
    <phoneticPr fontId="4" type="noConversion"/>
  </si>
  <si>
    <t>Vcc capacitor</t>
    <phoneticPr fontId="4" type="noConversion"/>
  </si>
  <si>
    <t>C</t>
    <phoneticPr fontId="4" type="noConversion"/>
  </si>
  <si>
    <t>Vcc startup resistor</t>
    <phoneticPr fontId="4" type="noConversion"/>
  </si>
  <si>
    <t>Rst</t>
    <phoneticPr fontId="4" type="noConversion"/>
  </si>
  <si>
    <t>MΩ</t>
    <phoneticPr fontId="4" type="noConversion"/>
  </si>
  <si>
    <t>Maximum Current Reference</t>
    <phoneticPr fontId="4" type="noConversion"/>
  </si>
  <si>
    <t>Kcc</t>
    <phoneticPr fontId="4" type="noConversion"/>
  </si>
  <si>
    <t>Transform Conversion Efficiency</t>
    <phoneticPr fontId="4" type="noConversion"/>
  </si>
  <si>
    <t>λ</t>
    <phoneticPr fontId="3" type="noConversion"/>
  </si>
  <si>
    <t>Output Current Protection</t>
    <phoneticPr fontId="4" type="noConversion"/>
  </si>
  <si>
    <t>OCP</t>
    <phoneticPr fontId="4" type="noConversion"/>
  </si>
  <si>
    <t>Over Voltage Protection</t>
    <phoneticPr fontId="3" type="noConversion"/>
  </si>
  <si>
    <t>OVP</t>
    <phoneticPr fontId="3" type="noConversion"/>
  </si>
  <si>
    <t>Saturation&amp; Copper Loss</t>
    <phoneticPr fontId="4" type="noConversion"/>
  </si>
  <si>
    <t>Window Aera</t>
    <phoneticPr fontId="4" type="noConversion"/>
  </si>
  <si>
    <t>Ae</t>
    <phoneticPr fontId="4" type="noConversion"/>
  </si>
  <si>
    <t>mm²</t>
    <phoneticPr fontId="4" type="noConversion"/>
  </si>
  <si>
    <t>Full Load Magnetic Flux Density</t>
    <phoneticPr fontId="4" type="noConversion"/>
  </si>
  <si>
    <t>B_LL fullload</t>
    <phoneticPr fontId="4" type="noConversion"/>
  </si>
  <si>
    <t>T</t>
    <phoneticPr fontId="4" type="noConversion"/>
  </si>
  <si>
    <t>Maximum Magnetic Flux Density</t>
    <phoneticPr fontId="3" type="noConversion"/>
  </si>
  <si>
    <t>B_LL OLP</t>
    <phoneticPr fontId="3" type="noConversion"/>
  </si>
  <si>
    <t>RMS of Primary Current</t>
    <phoneticPr fontId="3" type="noConversion"/>
  </si>
  <si>
    <t>Ipri_rms_LL fullload</t>
    <phoneticPr fontId="3" type="noConversion"/>
  </si>
  <si>
    <t>RMS of Secondary Current</t>
    <phoneticPr fontId="3" type="noConversion"/>
  </si>
  <si>
    <t>Isec_rms_LL fullload</t>
    <phoneticPr fontId="3" type="noConversion"/>
  </si>
  <si>
    <t>Winding current density</t>
  </si>
  <si>
    <t>Kd</t>
    <phoneticPr fontId="3" type="noConversion"/>
  </si>
  <si>
    <t>A/mm²</t>
    <phoneticPr fontId="3" type="noConversion"/>
  </si>
  <si>
    <t>Primary Wind diameter</t>
    <phoneticPr fontId="3" type="noConversion"/>
  </si>
  <si>
    <t>D_Np</t>
    <phoneticPr fontId="3" type="noConversion"/>
  </si>
  <si>
    <t>mm</t>
    <phoneticPr fontId="3" type="noConversion"/>
  </si>
  <si>
    <t>Secondary Wind diameter</t>
    <phoneticPr fontId="3" type="noConversion"/>
  </si>
  <si>
    <t>D_Ns</t>
    <phoneticPr fontId="3" type="noConversion"/>
  </si>
  <si>
    <t>Vc/V</t>
    <phoneticPr fontId="3" type="noConversion"/>
  </si>
  <si>
    <t>Fsw/kHz</t>
    <phoneticPr fontId="3" type="noConversion"/>
  </si>
  <si>
    <t>Vipk/V</t>
    <phoneticPr fontId="3" type="noConversion"/>
  </si>
  <si>
    <t>Ton/us</t>
    <phoneticPr fontId="3" type="noConversion"/>
  </si>
  <si>
    <t>Toff/us</t>
    <phoneticPr fontId="3" type="noConversion"/>
  </si>
  <si>
    <t>mode</t>
    <phoneticPr fontId="3" type="noConversion"/>
  </si>
  <si>
    <t>Ip1/A</t>
    <phoneticPr fontId="3" type="noConversion"/>
  </si>
  <si>
    <t>Ip2/A</t>
    <phoneticPr fontId="3" type="noConversion"/>
  </si>
  <si>
    <t>Po_actual/W</t>
    <phoneticPr fontId="3" type="noConversion"/>
  </si>
  <si>
    <t>Fsw_actual/kHz</t>
    <phoneticPr fontId="3" type="noConversion"/>
  </si>
  <si>
    <t xml:space="preserve">total Po </t>
  </si>
  <si>
    <t>F12=DCM</t>
  </si>
  <si>
    <t>ZVS Switch Stress</t>
  </si>
  <si>
    <t>Vzvs_ds</t>
  </si>
  <si>
    <t>nS</t>
  </si>
  <si>
    <t>Tdead time_LL fullload</t>
  </si>
  <si>
    <t>Output Type</t>
  </si>
  <si>
    <t>Vo2</t>
  </si>
  <si>
    <t>Io2</t>
  </si>
  <si>
    <t>Resonate Frequency</t>
  </si>
  <si>
    <t>Tring</t>
  </si>
  <si>
    <t>Aux power</t>
  </si>
  <si>
    <t>Vo3</t>
  </si>
  <si>
    <t>Io3</t>
  </si>
  <si>
    <t>DCM</t>
  </si>
  <si>
    <t>AC input Range</t>
  </si>
  <si>
    <t>HL</t>
  </si>
  <si>
    <t>Rcs</t>
  </si>
  <si>
    <r>
      <t xml:space="preserve">iW986x/7x / RRW221xx Product  Design Tool: please </t>
    </r>
    <r>
      <rPr>
        <b/>
        <u/>
        <sz val="14"/>
        <color rgb="FFFF0000"/>
        <rFont val="Arial"/>
        <family val="2"/>
      </rPr>
      <t>fill yellow blanks only</t>
    </r>
    <r>
      <rPr>
        <b/>
        <sz val="14"/>
        <color theme="1"/>
        <rFont val="Arial"/>
        <family val="2"/>
      </rPr>
      <t xml:space="preserve"> and pay attention to red words !</t>
    </r>
  </si>
  <si>
    <t>Rvs for Bin/bo, LL/HL and Vo detection</t>
  </si>
  <si>
    <t>V</t>
  </si>
  <si>
    <t>The fsw_max corresponding to 20V Vo, if want to adjust the fsw, please adjust the Vo correction factor.</t>
  </si>
  <si>
    <t>Vor</t>
  </si>
  <si>
    <t>Suggest Vor=40~120V;  if exceed the range, please change the Nps</t>
  </si>
  <si>
    <t>10% margin</t>
  </si>
  <si>
    <t>Protect estimate</t>
  </si>
  <si>
    <t>Vbin</t>
  </si>
  <si>
    <t>iW9870-05</t>
  </si>
  <si>
    <t>iW9873-63</t>
  </si>
  <si>
    <t>iW9863-01</t>
  </si>
  <si>
    <t>iW9863-06</t>
  </si>
  <si>
    <t>DFET for fast startup</t>
  </si>
  <si>
    <t>Y</t>
  </si>
  <si>
    <t>iW780/RRW30110</t>
  </si>
  <si>
    <t>TL431 or 3rd party IC</t>
  </si>
  <si>
    <t>aux power/PD</t>
  </si>
  <si>
    <t>Highest Vout for max fsw</t>
  </si>
  <si>
    <t>CCM</t>
  </si>
  <si>
    <t>iW9866-15</t>
  </si>
  <si>
    <t>N</t>
  </si>
  <si>
    <t>EGaN</t>
  </si>
  <si>
    <t>DGaN,mosfet</t>
  </si>
  <si>
    <t>Driver(V)</t>
  </si>
  <si>
    <t>Power Device</t>
  </si>
  <si>
    <t>Secondary loop control IC</t>
  </si>
  <si>
    <t>Application</t>
  </si>
  <si>
    <t>Max fsw(KHz)</t>
  </si>
  <si>
    <t>RRW22101</t>
  </si>
  <si>
    <t>DGaN</t>
  </si>
  <si>
    <t>PD_ZSP</t>
  </si>
  <si>
    <t>CCM/DCM at LL</t>
  </si>
  <si>
    <t>Isn_VO</t>
  </si>
  <si>
    <t>uA</t>
  </si>
  <si>
    <t>Isn_Vo</t>
  </si>
  <si>
    <t>Isn_Vovp</t>
  </si>
  <si>
    <t>Isn_vovp</t>
  </si>
  <si>
    <t>Isn_bin</t>
  </si>
  <si>
    <t>Vac</t>
  </si>
  <si>
    <t>pelase check the list of IC parameters</t>
  </si>
  <si>
    <t>IC options select</t>
  </si>
  <si>
    <t>Univasal &amp; LL:please check the list of IC parameters
HL&amp;Voltage doubler: DCM</t>
  </si>
  <si>
    <t xml:space="preserve">Vo_Correction </t>
  </si>
  <si>
    <t>RRW22122</t>
  </si>
  <si>
    <t>RRW22111</t>
  </si>
  <si>
    <t>step 1</t>
  </si>
  <si>
    <t>step 2</t>
  </si>
  <si>
    <t>Vds_min of the ripple of bulk cap</t>
  </si>
  <si>
    <t xml:space="preserve">choose the output type and key in the output VI profile </t>
  </si>
  <si>
    <t>In auxiliary power supply design, the total output power is equal to the sum of the output power of each circuit.</t>
  </si>
  <si>
    <t>In PD applications, key in the highest output voltage PDO and the PDO corresponding to the maximum current in the rated power.</t>
  </si>
  <si>
    <t>Select the appropriate IC from the iW986x/7x and RRW221xx general product list, and then select the IC's operating mode based on the input voltage range type.</t>
  </si>
  <si>
    <t>Step5</t>
  </si>
  <si>
    <t>key in the transformer parameters accordign to the device voltage stress and current stress consideration.</t>
  </si>
  <si>
    <t>Npa</t>
  </si>
  <si>
    <t>Nas</t>
  </si>
  <si>
    <t>Nas for Rvs calculation, Npa for Brown in level calculation.</t>
  </si>
  <si>
    <t>Step6</t>
  </si>
  <si>
    <t>Key in the Lm and Rcs</t>
  </si>
  <si>
    <t>full load; &lt;0.33T</t>
  </si>
  <si>
    <t>Key in the Ae of core, check the Bmax</t>
  </si>
  <si>
    <t xml:space="preserve">Winding turns of Vo_CV loop control 
please enter the acture Vcc turns according the Tx pins, Can include decimals
impacts the OVP calculate result </t>
  </si>
  <si>
    <t xml:space="preserve">please enter the acture Vcc turns according the Tx pins, Can include decimals
impacts the OVP calculate result </t>
  </si>
  <si>
    <t>iW9870-07</t>
  </si>
  <si>
    <t>iW780/RRW30111</t>
  </si>
  <si>
    <t>key in the input information</t>
  </si>
  <si>
    <t>Correction of  Vo</t>
  </si>
  <si>
    <t>Maxmum Frequency after Vo_Correction</t>
  </si>
  <si>
    <t>Fsw(max)_Correction</t>
  </si>
  <si>
    <t>kHz</t>
  </si>
  <si>
    <t>Output Voltage</t>
  </si>
  <si>
    <t>Io1</t>
  </si>
  <si>
    <t>Vo1_Vo max_Rapid charger or
Vo1_CV loop control_Aux power</t>
  </si>
  <si>
    <t>Auxiliary Winding</t>
  </si>
  <si>
    <t>open loop OVP level</t>
  </si>
  <si>
    <t>Step3</t>
  </si>
  <si>
    <t>step4</t>
  </si>
  <si>
    <t>1.Vo_correction value will impact the fsw_max, Brown in and OVP level, suggest the change rate less than +/-50% of Vo；
2.Please check the OVP and Bin level after Vo_Correction value changed.</t>
  </si>
  <si>
    <t>1. According to the IC definition, there is a positive correlation between the IC's operating frequency and output voltage(see below curve of fsw vs Vo). The highest frequency is set by an assumed output voltage of 12V or 20V (depending on the IC options). 
2.The IC using the Vsense pin to detect the output voltage information via the Auxiliary Winding and Rvs. In the Non-PD design,The Vo doesn't follow the relationship of 12V/20Vmax, The introduction of an output voltage correction factor provides greater design flexibility, such as the ability to configure an optimal maximum operating frequency and an appropriate OVP level. 
3.Vo_Correction, Rvs, Npa,Nas ,fsw, OVP and VBIN are related</t>
  </si>
  <si>
    <t>AC Brown In Voltage</t>
  </si>
  <si>
    <t>Step8</t>
  </si>
  <si>
    <t>Check the OVP and Brown in levels</t>
  </si>
  <si>
    <t>Real maximum system operating fsw</t>
  </si>
  <si>
    <t>Maximum fsw by IC setting; pelase check the list of IC parameters</t>
  </si>
  <si>
    <t>If the OVP and Brown levels do not meet the requirement, the Rvs can be adjusted to change the levels via the Vo_correction parameter adjusting.</t>
  </si>
  <si>
    <t>Step9</t>
  </si>
  <si>
    <t>Vcs&lt;0.48V</t>
  </si>
  <si>
    <t>worst case; &lt;0.38T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</si>
</sst>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 "/>
    <numFmt numFmtId="165" formatCode="0.00_ "/>
    <numFmt numFmtId="166" formatCode="0.000_ "/>
    <numFmt numFmtId="167" formatCode="0_ "/>
    <numFmt numFmtId="168" formatCode="0.0000"/>
  </numFmts>
  <fonts count="30">
    <font>
      <sz val="11"/>
      <color theme="1"/>
      <name val="Calibri"/>
      <family val="2"/>
      <charset val="134"/>
      <scheme val="minor"/>
    </font>
    <font>
      <sz val="11"/>
      <color theme="1"/>
      <name val="Calibri"/>
      <family val="2"/>
      <scheme val="minor"/>
    </font>
    <font>
      <b/>
      <sz val="12"/>
      <color theme="1"/>
      <name val="Arial"/>
      <family val="2"/>
    </font>
    <font>
      <sz val="9"/>
      <name val="Calibri"/>
      <family val="2"/>
      <charset val="134"/>
      <scheme val="minor"/>
    </font>
    <font>
      <sz val="9"/>
      <name val="Calibri"/>
      <family val="3"/>
      <charset val="134"/>
      <scheme val="minor"/>
    </font>
    <font>
      <sz val="11"/>
      <color theme="1"/>
      <name val="Arial"/>
      <family val="2"/>
    </font>
    <font>
      <sz val="10"/>
      <color theme="1"/>
      <name val="Arial"/>
      <family val="2"/>
    </font>
    <font>
      <b/>
      <sz val="11"/>
      <color theme="1"/>
      <name val="Arial"/>
      <family val="2"/>
    </font>
    <font>
      <b/>
      <i/>
      <sz val="12"/>
      <color theme="1"/>
      <name val="Arial"/>
      <family val="2"/>
    </font>
    <font>
      <b/>
      <sz val="10"/>
      <color theme="1"/>
      <name val="Arial"/>
      <family val="2"/>
    </font>
    <font>
      <sz val="11"/>
      <color theme="0"/>
      <name val="Arial"/>
      <family val="2"/>
    </font>
    <font>
      <b/>
      <sz val="10"/>
      <color theme="1"/>
      <name val="宋体"/>
      <family val="3"/>
      <charset val="134"/>
    </font>
    <font>
      <b/>
      <sz val="10"/>
      <color rgb="FFFF0000"/>
      <name val="Arial"/>
      <family val="2"/>
    </font>
    <font>
      <sz val="11"/>
      <color rgb="FFFF0000"/>
      <name val="Arial"/>
      <family val="2"/>
    </font>
    <font>
      <sz val="11"/>
      <color theme="1"/>
      <name val="宋体"/>
      <family val="2"/>
      <charset val="134"/>
    </font>
    <font>
      <b/>
      <sz val="9"/>
      <color rgb="FFC00000"/>
      <name val="Arial"/>
      <family val="2"/>
    </font>
    <font>
      <sz val="11"/>
      <color rgb="FFC00000"/>
      <name val="Arial"/>
      <family val="2"/>
    </font>
    <font>
      <b/>
      <sz val="14"/>
      <color theme="1"/>
      <name val="Arial"/>
      <family val="2"/>
    </font>
    <font>
      <sz val="14"/>
      <color theme="1"/>
      <name val="Arial"/>
      <family val="2"/>
    </font>
    <font>
      <sz val="11"/>
      <color theme="1"/>
      <name val="微软雅黑"/>
      <family val="2"/>
      <charset val="134"/>
    </font>
    <font>
      <b/>
      <sz val="10"/>
      <color rgb="FFC00000"/>
      <name val="Arial"/>
      <family val="2"/>
    </font>
    <font>
      <sz val="12"/>
      <color rgb="FF000000"/>
      <name val="Roboto"/>
    </font>
    <font>
      <b/>
      <u/>
      <sz val="14"/>
      <color rgb="FFFF0000"/>
      <name val="Arial"/>
      <family val="2"/>
    </font>
    <font>
      <sz val="10"/>
      <color rgb="FFC00000"/>
      <name val="Arial"/>
      <family val="2"/>
    </font>
    <font>
      <sz val="10"/>
      <color rgb="FFFF0000"/>
      <name val="Arial"/>
      <family val="2"/>
    </font>
    <font>
      <b/>
      <sz val="14"/>
      <color theme="1"/>
      <name val="Calibri"/>
      <family val="2"/>
      <scheme val="minor"/>
    </font>
    <font>
      <sz val="11"/>
      <color rgb="FF1F1F1F"/>
      <name val="Arial"/>
      <family val="2"/>
    </font>
    <font>
      <sz val="11"/>
      <color rgb="FF1F1F1F"/>
      <name val="Inherit"/>
    </font>
    <font>
      <b/>
      <sz val="10"/>
      <color theme="0"/>
      <name val="Arial"/>
      <family val="2"/>
    </font>
    <font>
      <sz val="8"/>
      <name val="Calibri"/>
      <family val="2"/>
      <charset val="134"/>
      <scheme val="minor"/>
    </font>
  </fonts>
  <fills count="7">
    <fill>
      <patternFill patternType="none"/>
    </fill>
    <fill>
      <patternFill patternType="gray125"/>
    </fill>
    <fill>
      <patternFill patternType="solid">
        <fgColor rgb="FFFFFF00"/>
        <bgColor indexed="64"/>
      </patternFill>
    </fill>
    <fill>
      <patternFill patternType="solid">
        <fgColor rgb="FF33CC33"/>
        <bgColor indexed="64"/>
      </patternFill>
    </fill>
    <fill>
      <patternFill patternType="solid">
        <fgColor theme="3" tint="0.39997558519241921"/>
        <bgColor indexed="64"/>
      </patternFill>
    </fill>
    <fill>
      <patternFill patternType="solid">
        <fgColor rgb="FF00CC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91">
    <xf numFmtId="0" fontId="0" fillId="0" borderId="0" xfId="0">
      <alignment vertical="center"/>
    </xf>
    <xf numFmtId="0" fontId="2" fillId="0" borderId="0" xfId="1" applyFont="1"/>
    <xf numFmtId="0" fontId="5" fillId="0" borderId="0" xfId="1" applyFont="1"/>
    <xf numFmtId="0" fontId="6" fillId="0" borderId="0" xfId="1" applyFont="1" applyAlignment="1">
      <alignment wrapText="1"/>
    </xf>
    <xf numFmtId="0" fontId="7" fillId="0" borderId="0" xfId="1" applyFont="1"/>
    <xf numFmtId="0" fontId="2" fillId="2" borderId="0" xfId="1" applyFont="1" applyFill="1"/>
    <xf numFmtId="0" fontId="2" fillId="3" borderId="0" xfId="1" applyFont="1" applyFill="1"/>
    <xf numFmtId="0" fontId="2" fillId="0" borderId="0" xfId="1" applyFont="1" applyAlignment="1">
      <alignment wrapText="1"/>
    </xf>
    <xf numFmtId="0" fontId="8" fillId="4" borderId="0" xfId="1" applyFont="1" applyFill="1"/>
    <xf numFmtId="0" fontId="9" fillId="0" borderId="0" xfId="1" applyFont="1" applyAlignment="1">
      <alignment wrapText="1"/>
    </xf>
    <xf numFmtId="0" fontId="10" fillId="0" borderId="0" xfId="1" applyFont="1" applyAlignment="1">
      <alignment horizontal="right"/>
    </xf>
    <xf numFmtId="0" fontId="10" fillId="0" borderId="0" xfId="1" applyFont="1"/>
    <xf numFmtId="0" fontId="5" fillId="2" borderId="0" xfId="1" applyFont="1" applyFill="1"/>
    <xf numFmtId="0" fontId="5" fillId="2" borderId="0" xfId="1" applyFont="1" applyFill="1" applyAlignment="1">
      <alignment wrapText="1"/>
    </xf>
    <xf numFmtId="0" fontId="10" fillId="0" borderId="0" xfId="1" applyFont="1" applyAlignment="1">
      <alignment horizontal="left"/>
    </xf>
    <xf numFmtId="0" fontId="9" fillId="0" borderId="0" xfId="1" applyFont="1" applyAlignment="1">
      <alignment horizontal="left" vertical="top" wrapText="1"/>
    </xf>
    <xf numFmtId="49" fontId="9" fillId="0" borderId="0" xfId="1" applyNumberFormat="1" applyFont="1" applyAlignment="1">
      <alignment wrapText="1"/>
    </xf>
    <xf numFmtId="0" fontId="7" fillId="0" borderId="0" xfId="1" applyFont="1" applyAlignment="1">
      <alignment horizontal="left"/>
    </xf>
    <xf numFmtId="0" fontId="5" fillId="0" borderId="0" xfId="1" applyFont="1" applyAlignment="1">
      <alignment horizontal="left"/>
    </xf>
    <xf numFmtId="166" fontId="5" fillId="5" borderId="0" xfId="1" applyNumberFormat="1" applyFont="1" applyFill="1" applyAlignment="1">
      <alignment horizontal="right"/>
    </xf>
    <xf numFmtId="164" fontId="5" fillId="5" borderId="0" xfId="1" applyNumberFormat="1" applyFont="1" applyFill="1" applyAlignment="1">
      <alignment horizontal="right"/>
    </xf>
    <xf numFmtId="0" fontId="12" fillId="0" borderId="0" xfId="1" applyFont="1" applyAlignment="1">
      <alignment wrapText="1"/>
    </xf>
    <xf numFmtId="165" fontId="5" fillId="5" borderId="0" xfId="1" applyNumberFormat="1" applyFont="1" applyFill="1" applyAlignment="1">
      <alignment horizontal="right"/>
    </xf>
    <xf numFmtId="167" fontId="5" fillId="5" borderId="0" xfId="1" applyNumberFormat="1" applyFont="1" applyFill="1" applyAlignment="1">
      <alignment horizontal="right"/>
    </xf>
    <xf numFmtId="0" fontId="9" fillId="0" borderId="0" xfId="1" applyFont="1" applyAlignment="1">
      <alignment horizontal="center" wrapText="1"/>
    </xf>
    <xf numFmtId="166" fontId="5" fillId="2" borderId="0" xfId="1" applyNumberFormat="1" applyFont="1" applyFill="1" applyAlignment="1">
      <alignment horizontal="right"/>
    </xf>
    <xf numFmtId="0" fontId="13" fillId="0" borderId="0" xfId="1" applyFont="1"/>
    <xf numFmtId="165" fontId="5" fillId="5" borderId="0" xfId="1" applyNumberFormat="1" applyFont="1" applyFill="1"/>
    <xf numFmtId="0" fontId="7" fillId="0" borderId="0" xfId="1" applyFont="1" applyAlignment="1">
      <alignment horizontal="center"/>
    </xf>
    <xf numFmtId="166" fontId="5" fillId="5" borderId="0" xfId="1" applyNumberFormat="1" applyFont="1" applyFill="1"/>
    <xf numFmtId="0" fontId="5" fillId="0" borderId="0" xfId="1" applyFont="1" applyAlignment="1">
      <alignment horizontal="right"/>
    </xf>
    <xf numFmtId="165" fontId="5" fillId="0" borderId="0" xfId="0" applyNumberFormat="1" applyFont="1" applyAlignment="1">
      <alignment horizontal="right" vertical="center"/>
    </xf>
    <xf numFmtId="165" fontId="5" fillId="0" borderId="0" xfId="0" applyNumberFormat="1" applyFont="1">
      <alignment vertical="center"/>
    </xf>
    <xf numFmtId="49" fontId="5" fillId="0" borderId="0" xfId="1" applyNumberFormat="1" applyFont="1"/>
    <xf numFmtId="166" fontId="5" fillId="0" borderId="0" xfId="1" applyNumberFormat="1" applyFont="1" applyAlignment="1">
      <alignment horizontal="right"/>
    </xf>
    <xf numFmtId="166" fontId="5" fillId="0" borderId="0" xfId="1" applyNumberFormat="1" applyFont="1"/>
    <xf numFmtId="0" fontId="16" fillId="0" borderId="0" xfId="1" applyFont="1"/>
    <xf numFmtId="0" fontId="17" fillId="0" borderId="0" xfId="1" applyFont="1" applyAlignment="1">
      <alignment vertical="center"/>
    </xf>
    <xf numFmtId="0" fontId="18" fillId="0" borderId="0" xfId="1" applyFont="1" applyAlignment="1">
      <alignment vertical="center"/>
    </xf>
    <xf numFmtId="0" fontId="18" fillId="0" borderId="0" xfId="1" applyFont="1" applyAlignment="1">
      <alignment vertical="center" wrapText="1"/>
    </xf>
    <xf numFmtId="0" fontId="5" fillId="0" borderId="0" xfId="1" applyFont="1" applyAlignment="1">
      <alignment horizontal="left" vertical="center"/>
    </xf>
    <xf numFmtId="0" fontId="5" fillId="2" borderId="0" xfId="1" applyFont="1" applyFill="1" applyAlignment="1">
      <alignment horizontal="right"/>
    </xf>
    <xf numFmtId="0" fontId="15" fillId="0" borderId="0" xfId="1" applyFont="1" applyAlignment="1">
      <alignment horizontal="center"/>
    </xf>
    <xf numFmtId="165" fontId="5" fillId="0" borderId="0" xfId="1" applyNumberFormat="1" applyFont="1" applyAlignment="1">
      <alignment horizontal="right"/>
    </xf>
    <xf numFmtId="0" fontId="5" fillId="0" borderId="0" xfId="0" applyFont="1" applyAlignment="1">
      <alignment horizontal="center" vertical="center" wrapText="1"/>
    </xf>
    <xf numFmtId="0" fontId="0" fillId="0" borderId="0" xfId="0" applyAlignment="1">
      <alignment horizontal="center" vertical="center"/>
    </xf>
    <xf numFmtId="0" fontId="10" fillId="0" borderId="0" xfId="0" applyFont="1" applyAlignment="1">
      <alignment horizontal="center" vertical="center" wrapText="1"/>
    </xf>
    <xf numFmtId="49" fontId="9" fillId="0" borderId="0" xfId="1" applyNumberFormat="1" applyFont="1" applyAlignment="1">
      <alignment horizontal="left" wrapText="1"/>
    </xf>
    <xf numFmtId="49" fontId="12" fillId="0" borderId="0" xfId="1" applyNumberFormat="1" applyFont="1" applyAlignment="1">
      <alignment horizontal="left" wrapText="1"/>
    </xf>
    <xf numFmtId="0" fontId="19" fillId="0" borderId="0" xfId="1" applyFont="1"/>
    <xf numFmtId="0" fontId="20" fillId="0" borderId="0" xfId="1" applyFont="1" applyAlignment="1">
      <alignment wrapText="1"/>
    </xf>
    <xf numFmtId="49" fontId="20" fillId="0" borderId="0" xfId="1" applyNumberFormat="1" applyFont="1" applyAlignment="1">
      <alignment wrapText="1"/>
    </xf>
    <xf numFmtId="0" fontId="9" fillId="0" borderId="0" xfId="1" applyFont="1" applyAlignment="1">
      <alignment vertical="center" wrapText="1"/>
    </xf>
    <xf numFmtId="0" fontId="21" fillId="0" borderId="0" xfId="0" applyFont="1">
      <alignment vertical="center"/>
    </xf>
    <xf numFmtId="166" fontId="5" fillId="2" borderId="0" xfId="1" applyNumberFormat="1" applyFont="1" applyFill="1"/>
    <xf numFmtId="49" fontId="12" fillId="0" borderId="0" xfId="1" applyNumberFormat="1" applyFont="1" applyAlignment="1">
      <alignment wrapText="1"/>
    </xf>
    <xf numFmtId="166" fontId="20" fillId="0" borderId="0" xfId="1" applyNumberFormat="1" applyFont="1" applyAlignment="1">
      <alignment wrapText="1"/>
    </xf>
    <xf numFmtId="49" fontId="23" fillId="0" borderId="0" xfId="1" applyNumberFormat="1" applyFont="1" applyAlignment="1">
      <alignment wrapText="1"/>
    </xf>
    <xf numFmtId="0" fontId="23" fillId="0" borderId="0" xfId="1" applyFont="1" applyAlignment="1">
      <alignment wrapText="1"/>
    </xf>
    <xf numFmtId="0" fontId="23" fillId="0" borderId="0" xfId="1" applyFont="1" applyAlignment="1">
      <alignment horizontal="left" wrapText="1"/>
    </xf>
    <xf numFmtId="168"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2" fontId="5" fillId="2" borderId="0" xfId="1" applyNumberFormat="1" applyFont="1" applyFill="1" applyAlignment="1">
      <alignment horizontal="right"/>
    </xf>
    <xf numFmtId="0" fontId="5" fillId="6" borderId="0" xfId="1" applyFont="1" applyFill="1" applyAlignment="1">
      <alignment wrapText="1"/>
    </xf>
    <xf numFmtId="0" fontId="11" fillId="0" borderId="0" xfId="1" applyFont="1" applyAlignment="1">
      <alignment wrapText="1"/>
    </xf>
    <xf numFmtId="0" fontId="6" fillId="0" borderId="0" xfId="1" applyFont="1" applyAlignment="1">
      <alignment horizontal="left" wrapText="1"/>
    </xf>
    <xf numFmtId="0" fontId="24" fillId="0" borderId="0" xfId="1" applyFont="1" applyAlignment="1">
      <alignment wrapText="1"/>
    </xf>
    <xf numFmtId="2" fontId="10" fillId="0" borderId="0" xfId="0" applyNumberFormat="1" applyFont="1" applyAlignment="1">
      <alignment horizontal="center" vertical="center" wrapText="1"/>
    </xf>
    <xf numFmtId="0" fontId="14" fillId="0" borderId="0" xfId="1" applyFont="1" applyAlignment="1">
      <alignment horizontal="center" vertical="center"/>
    </xf>
    <xf numFmtId="0" fontId="5" fillId="0" borderId="0" xfId="1" applyFont="1" applyAlignment="1">
      <alignment horizontal="center" vertical="center"/>
    </xf>
    <xf numFmtId="0" fontId="5" fillId="0" borderId="0" xfId="1" applyFont="1" applyAlignment="1">
      <alignment wrapText="1"/>
    </xf>
    <xf numFmtId="0" fontId="25" fillId="0" borderId="0" xfId="0" applyFont="1">
      <alignment vertical="center"/>
    </xf>
    <xf numFmtId="0" fontId="26" fillId="0" borderId="0" xfId="0" applyFont="1">
      <alignment vertical="center"/>
    </xf>
    <xf numFmtId="0" fontId="27" fillId="0" borderId="0" xfId="0" applyFont="1" applyAlignment="1">
      <alignment horizontal="left" vertical="center"/>
    </xf>
    <xf numFmtId="0" fontId="28" fillId="0" borderId="0" xfId="1" applyFont="1" applyAlignment="1">
      <alignment wrapText="1"/>
    </xf>
    <xf numFmtId="167" fontId="10" fillId="6" borderId="0" xfId="1" applyNumberFormat="1" applyFont="1" applyFill="1" applyAlignment="1">
      <alignment horizontal="right"/>
    </xf>
    <xf numFmtId="0" fontId="0" fillId="0" borderId="1" xfId="0" applyBorder="1">
      <alignment vertical="center"/>
    </xf>
    <xf numFmtId="2" fontId="5" fillId="2" borderId="0" xfId="1" applyNumberFormat="1" applyFont="1" applyFill="1"/>
    <xf numFmtId="0" fontId="27" fillId="0" borderId="0" xfId="0" applyFont="1" applyAlignment="1">
      <alignment horizontal="left" vertical="center" wrapText="1"/>
    </xf>
    <xf numFmtId="0" fontId="5" fillId="0" borderId="0" xfId="1" applyFont="1" applyAlignment="1">
      <alignment horizontal="left"/>
    </xf>
    <xf numFmtId="0" fontId="5" fillId="0" borderId="0" xfId="1" applyFont="1" applyAlignment="1">
      <alignment horizontal="left" vertical="center"/>
    </xf>
    <xf numFmtId="0" fontId="8" fillId="4" borderId="0" xfId="1" applyFont="1" applyFill="1" applyAlignment="1">
      <alignment horizontal="left"/>
    </xf>
    <xf numFmtId="0" fontId="23" fillId="0" borderId="0" xfId="1" applyFont="1" applyAlignment="1">
      <alignment horizontal="left" wrapText="1"/>
    </xf>
    <xf numFmtId="0" fontId="7" fillId="0" borderId="0" xfId="1" applyFont="1" applyAlignment="1">
      <alignment horizontal="center"/>
    </xf>
    <xf numFmtId="0" fontId="10" fillId="6" borderId="0" xfId="1" applyFont="1" applyFill="1" applyAlignment="1">
      <alignment horizontal="left"/>
    </xf>
    <xf numFmtId="0" fontId="5" fillId="6" borderId="0" xfId="1" applyFont="1" applyFill="1" applyAlignment="1">
      <alignment horizontal="left"/>
    </xf>
    <xf numFmtId="0" fontId="5" fillId="6" borderId="0" xfId="1" applyFont="1" applyFill="1" applyAlignment="1">
      <alignment horizontal="left" vertical="center"/>
    </xf>
    <xf numFmtId="0" fontId="8" fillId="4" borderId="0" xfId="1" applyFont="1" applyFill="1" applyAlignment="1">
      <alignment horizontal="center"/>
    </xf>
    <xf numFmtId="0" fontId="7" fillId="0" borderId="0" xfId="1" applyFont="1" applyAlignment="1">
      <alignment horizontal="left"/>
    </xf>
    <xf numFmtId="49" fontId="23" fillId="0" borderId="0" xfId="1" applyNumberFormat="1" applyFont="1" applyAlignment="1">
      <alignment horizontal="left" wrapText="1"/>
    </xf>
    <xf numFmtId="0" fontId="27" fillId="0" borderId="0" xfId="0" applyFont="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1200" b="1" i="0" u="none" strike="noStrike" baseline="0">
                <a:solidFill>
                  <a:srgbClr val="000000"/>
                </a:solidFill>
                <a:latin typeface="Arial"/>
                <a:ea typeface="Arial"/>
                <a:cs typeface="Arial"/>
              </a:defRPr>
            </a:pPr>
            <a:r>
              <a:rPr lang="en-US" altLang="en-US" b="1"/>
              <a:t>Low Line MMC (DCM)</a:t>
            </a:r>
          </a:p>
        </c:rich>
      </c:tx>
      <c:layout>
        <c:manualLayout>
          <c:xMode val="edge"/>
          <c:yMode val="edge"/>
          <c:x val="0.28774633210589223"/>
          <c:y val="4.0556599369745996E-2"/>
        </c:manualLayout>
      </c:layout>
      <c:overlay val="0"/>
      <c:spPr>
        <a:noFill/>
        <a:ln w="25400">
          <a:noFill/>
        </a:ln>
      </c:spPr>
    </c:title>
    <c:autoTitleDeleted val="0"/>
    <c:plotArea>
      <c:layout>
        <c:manualLayout>
          <c:layoutTarget val="inner"/>
          <c:xMode val="edge"/>
          <c:yMode val="edge"/>
          <c:x val="0.12605042016806722"/>
          <c:y val="0.17250673854447454"/>
          <c:w val="0.57357259248340742"/>
          <c:h val="0.67641800975380184"/>
        </c:manualLayout>
      </c:layout>
      <c:scatterChart>
        <c:scatterStyle val="lineMarker"/>
        <c:varyColors val="0"/>
        <c:ser>
          <c:idx val="0"/>
          <c:order val="0"/>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0-70A4-4CF7-97D6-68FA5C6FAC3C}"/>
            </c:ext>
          </c:extLst>
        </c:ser>
        <c:ser>
          <c:idx val="2"/>
          <c:order val="2"/>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1-70A4-4CF7-97D6-68FA5C6FAC3C}"/>
            </c:ext>
          </c:extLst>
        </c:ser>
        <c:ser>
          <c:idx val="4"/>
          <c:order val="4"/>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2-70A4-4CF7-97D6-68FA5C6FAC3C}"/>
            </c:ext>
          </c:extLst>
        </c:ser>
        <c:ser>
          <c:idx val="6"/>
          <c:order val="6"/>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3-70A4-4CF7-97D6-68FA5C6FAC3C}"/>
            </c:ext>
          </c:extLst>
        </c:ser>
        <c:dLbls>
          <c:showLegendKey val="0"/>
          <c:showVal val="0"/>
          <c:showCatName val="0"/>
          <c:showSerName val="0"/>
          <c:showPercent val="0"/>
          <c:showBubbleSize val="0"/>
        </c:dLbls>
        <c:axId val="2060925520"/>
        <c:axId val="2060921712"/>
      </c:scatterChart>
      <c:scatterChart>
        <c:scatterStyle val="lineMarker"/>
        <c:varyColors val="0"/>
        <c:ser>
          <c:idx val="1"/>
          <c:order val="1"/>
          <c:marker>
            <c:symbol val="square"/>
            <c:size val="5"/>
          </c:marker>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4-70A4-4CF7-97D6-68FA5C6FAC3C}"/>
            </c:ext>
          </c:extLst>
        </c:ser>
        <c:ser>
          <c:idx val="3"/>
          <c:order val="3"/>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5-70A4-4CF7-97D6-68FA5C6FAC3C}"/>
            </c:ext>
          </c:extLst>
        </c:ser>
        <c:ser>
          <c:idx val="5"/>
          <c:order val="5"/>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6-70A4-4CF7-97D6-68FA5C6FAC3C}"/>
            </c:ext>
          </c:extLst>
        </c:ser>
        <c:ser>
          <c:idx val="7"/>
          <c:order val="7"/>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7-70A4-4CF7-97D6-68FA5C6FAC3C}"/>
            </c:ext>
          </c:extLst>
        </c:ser>
        <c:dLbls>
          <c:showLegendKey val="0"/>
          <c:showVal val="0"/>
          <c:showCatName val="0"/>
          <c:showSerName val="0"/>
          <c:showPercent val="0"/>
          <c:showBubbleSize val="0"/>
        </c:dLbls>
        <c:axId val="2060922256"/>
        <c:axId val="2060928784"/>
      </c:scatterChart>
      <c:valAx>
        <c:axId val="2060925520"/>
        <c:scaling>
          <c:orientation val="minMax"/>
          <c:max val="3.5"/>
          <c:min val="1"/>
        </c:scaling>
        <c:delete val="0"/>
        <c:axPos val="b"/>
        <c:title>
          <c:tx>
            <c:rich>
              <a:bodyPr/>
              <a:lstStyle/>
              <a:p>
                <a:pPr>
                  <a:defRPr lang="ja-JP" sz="1000">
                    <a:latin typeface="Arial" panose="020B0604020202020204" pitchFamily="34" charset="0"/>
                    <a:cs typeface="Arial" panose="020B0604020202020204" pitchFamily="34" charset="0"/>
                  </a:defRPr>
                </a:pPr>
                <a:r>
                  <a:rPr lang="en-US" altLang="zh-CN" sz="1000">
                    <a:latin typeface="Arial" panose="020B0604020202020204" pitchFamily="34" charset="0"/>
                    <a:cs typeface="Arial" panose="020B0604020202020204" pitchFamily="34" charset="0"/>
                  </a:rPr>
                  <a:t>Vc(V)</a:t>
                </a:r>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lang="ja-JP" sz="900" b="0" i="0" u="none" strike="noStrike" baseline="0">
                <a:solidFill>
                  <a:srgbClr val="000000"/>
                </a:solidFill>
                <a:latin typeface="Arial" panose="020B0604020202020204" pitchFamily="34" charset="0"/>
                <a:ea typeface="新細明體"/>
                <a:cs typeface="Arial" panose="020B0604020202020204" pitchFamily="34" charset="0"/>
              </a:defRPr>
            </a:pPr>
            <a:endParaRPr lang="en-US"/>
          </a:p>
        </c:txPr>
        <c:crossAx val="2060921712"/>
        <c:crosses val="autoZero"/>
        <c:crossBetween val="midCat"/>
      </c:valAx>
      <c:valAx>
        <c:axId val="2060921712"/>
        <c:scaling>
          <c:orientation val="minMax"/>
          <c:max val="200"/>
        </c:scaling>
        <c:delete val="0"/>
        <c:axPos val="l"/>
        <c:majorGridlines>
          <c:spPr>
            <a:ln w="3175">
              <a:solidFill>
                <a:srgbClr val="000000"/>
              </a:solidFill>
              <a:prstDash val="solid"/>
            </a:ln>
          </c:spPr>
        </c:majorGridlines>
        <c:title>
          <c:tx>
            <c:rich>
              <a:bodyPr/>
              <a:lstStyle/>
              <a:p>
                <a:pPr>
                  <a:defRPr lang="ja-JP" sz="1000">
                    <a:latin typeface="Arial" panose="020B0604020202020204" pitchFamily="34" charset="0"/>
                    <a:cs typeface="Arial" panose="020B0604020202020204" pitchFamily="34" charset="0"/>
                  </a:defRPr>
                </a:pPr>
                <a:r>
                  <a:rPr lang="en-US" altLang="zh-CN" sz="1000">
                    <a:latin typeface="Arial" panose="020B0604020202020204" pitchFamily="34" charset="0"/>
                    <a:cs typeface="Arial" panose="020B0604020202020204" pitchFamily="34" charset="0"/>
                  </a:rPr>
                  <a:t>Fsw(kHz)</a:t>
                </a:r>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lang="ja-JP" sz="900" b="0" i="0" u="none" strike="noStrike" baseline="0">
                <a:solidFill>
                  <a:srgbClr val="000000"/>
                </a:solidFill>
                <a:latin typeface="Arial" panose="020B0604020202020204" pitchFamily="34" charset="0"/>
                <a:ea typeface="新細明體"/>
                <a:cs typeface="Arial" panose="020B0604020202020204" pitchFamily="34" charset="0"/>
              </a:defRPr>
            </a:pPr>
            <a:endParaRPr lang="en-US"/>
          </a:p>
        </c:txPr>
        <c:crossAx val="2060925520"/>
        <c:crosses val="autoZero"/>
        <c:crossBetween val="midCat"/>
      </c:valAx>
      <c:valAx>
        <c:axId val="2060928784"/>
        <c:scaling>
          <c:orientation val="minMax"/>
          <c:max val="0.8"/>
        </c:scaling>
        <c:delete val="0"/>
        <c:axPos val="r"/>
        <c:title>
          <c:tx>
            <c:rich>
              <a:bodyPr/>
              <a:lstStyle/>
              <a:p>
                <a:pPr>
                  <a:defRPr lang="ja-JP" sz="1000">
                    <a:latin typeface="Arial" panose="020B0604020202020204" pitchFamily="34" charset="0"/>
                    <a:cs typeface="Arial" panose="020B0604020202020204" pitchFamily="34" charset="0"/>
                  </a:defRPr>
                </a:pPr>
                <a:r>
                  <a:rPr lang="en-US" altLang="zh-CN" sz="1000">
                    <a:latin typeface="Arial" panose="020B0604020202020204" pitchFamily="34" charset="0"/>
                    <a:cs typeface="Arial" panose="020B0604020202020204" pitchFamily="34" charset="0"/>
                  </a:rPr>
                  <a:t>Vipk(V)</a:t>
                </a:r>
              </a:p>
            </c:rich>
          </c:tx>
          <c:layout>
            <c:manualLayout>
              <c:xMode val="edge"/>
              <c:yMode val="edge"/>
              <c:x val="0.75480293527703224"/>
              <c:y val="0.42180329157369362"/>
            </c:manualLayout>
          </c:layout>
          <c:overlay val="0"/>
        </c:title>
        <c:numFmt formatCode="General" sourceLinked="1"/>
        <c:majorTickMark val="out"/>
        <c:minorTickMark val="none"/>
        <c:tickLblPos val="nextTo"/>
        <c:txPr>
          <a:bodyPr/>
          <a:lstStyle/>
          <a:p>
            <a:pPr>
              <a:defRPr lang="ja-JP" sz="900">
                <a:latin typeface="Arial" panose="020B0604020202020204" pitchFamily="34" charset="0"/>
                <a:cs typeface="Arial" panose="020B0604020202020204" pitchFamily="34" charset="0"/>
              </a:defRPr>
            </a:pPr>
            <a:endParaRPr lang="en-US"/>
          </a:p>
        </c:txPr>
        <c:crossAx val="2060922256"/>
        <c:crosses val="max"/>
        <c:crossBetween val="midCat"/>
        <c:majorUnit val="0.2"/>
      </c:valAx>
      <c:valAx>
        <c:axId val="2060922256"/>
        <c:scaling>
          <c:orientation val="minMax"/>
        </c:scaling>
        <c:delete val="1"/>
        <c:axPos val="b"/>
        <c:numFmt formatCode="General" sourceLinked="1"/>
        <c:majorTickMark val="out"/>
        <c:minorTickMark val="none"/>
        <c:tickLblPos val="nextTo"/>
        <c:crossAx val="2060928784"/>
        <c:crosses val="autoZero"/>
        <c:crossBetween val="midCat"/>
      </c:valAx>
      <c:spPr>
        <a:solidFill>
          <a:srgbClr val="C0C0C0"/>
        </a:solidFill>
        <a:ln w="12700">
          <a:solidFill>
            <a:srgbClr val="808080"/>
          </a:solidFill>
          <a:prstDash val="solid"/>
        </a:ln>
      </c:spPr>
    </c:plotArea>
    <c:legend>
      <c:legendPos val="r"/>
      <c:layout>
        <c:manualLayout>
          <c:xMode val="edge"/>
          <c:yMode val="edge"/>
          <c:x val="0.78453875589710476"/>
          <c:y val="0.18739472418249772"/>
          <c:w val="0.19654118720527108"/>
          <c:h val="0.6317857930926728"/>
        </c:manualLayout>
      </c:layout>
      <c:overlay val="0"/>
      <c:txPr>
        <a:bodyPr/>
        <a:lstStyle/>
        <a:p>
          <a:pPr>
            <a:defRPr lang="ja-JP" sz="10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新細明體"/>
          <a:ea typeface="新細明體"/>
          <a:cs typeface="新細明體"/>
        </a:defRPr>
      </a:pPr>
      <a:endParaRPr lang="en-US"/>
    </a:p>
  </c:txPr>
  <c:printSettings>
    <c:headerFooter alignWithMargins="0"/>
    <c:pageMargins b="1" l="0.75000000000000056" r="0.75000000000000056" t="1" header="0.5" footer="0.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1200" b="1" i="0" u="none" strike="noStrike" baseline="0">
                <a:solidFill>
                  <a:srgbClr val="000000"/>
                </a:solidFill>
                <a:latin typeface="Arial"/>
                <a:ea typeface="Arial"/>
                <a:cs typeface="Arial"/>
              </a:defRPr>
            </a:pPr>
            <a:r>
              <a:rPr lang="en-US" altLang="en-US" b="1" i="0"/>
              <a:t>Low Line </a:t>
            </a:r>
            <a:r>
              <a:rPr lang="en-US" altLang="en-US" b="1" i="0" baseline="0"/>
              <a:t>Real Fsw</a:t>
            </a:r>
            <a:endParaRPr lang="en-US" altLang="en-US" b="1" i="0"/>
          </a:p>
        </c:rich>
      </c:tx>
      <c:layout>
        <c:manualLayout>
          <c:xMode val="edge"/>
          <c:yMode val="edge"/>
          <c:x val="0.28743151515911225"/>
          <c:y val="3.7002822025367053E-2"/>
        </c:manualLayout>
      </c:layout>
      <c:overlay val="0"/>
      <c:spPr>
        <a:noFill/>
        <a:ln w="25400">
          <a:noFill/>
        </a:ln>
      </c:spPr>
    </c:title>
    <c:autoTitleDeleted val="0"/>
    <c:plotArea>
      <c:layout>
        <c:manualLayout>
          <c:layoutTarget val="inner"/>
          <c:xMode val="edge"/>
          <c:yMode val="edge"/>
          <c:x val="0.12605042016806722"/>
          <c:y val="0.17250673854447454"/>
          <c:w val="0.56033286626991607"/>
          <c:h val="0.65768194070080865"/>
        </c:manualLayout>
      </c:layout>
      <c:scatterChart>
        <c:scatterStyle val="lineMarker"/>
        <c:varyColors val="0"/>
        <c:ser>
          <c:idx val="0"/>
          <c:order val="0"/>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0-C58A-4D00-8039-908775A4B6F9}"/>
            </c:ext>
          </c:extLst>
        </c:ser>
        <c:dLbls>
          <c:showLegendKey val="0"/>
          <c:showVal val="0"/>
          <c:showCatName val="0"/>
          <c:showSerName val="0"/>
          <c:showPercent val="0"/>
          <c:showBubbleSize val="0"/>
        </c:dLbls>
        <c:axId val="2114479440"/>
        <c:axId val="2114475632"/>
      </c:scatterChart>
      <c:scatterChart>
        <c:scatterStyle val="lineMarker"/>
        <c:varyColors val="0"/>
        <c:ser>
          <c:idx val="1"/>
          <c:order val="1"/>
          <c:marker>
            <c:symbol val="square"/>
            <c:size val="5"/>
          </c:marker>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1-C58A-4D00-8039-908775A4B6F9}"/>
            </c:ext>
          </c:extLst>
        </c:ser>
        <c:ser>
          <c:idx val="3"/>
          <c:order val="2"/>
          <c:marker>
            <c:symbol val="none"/>
          </c:marker>
          <c:dPt>
            <c:idx val="2"/>
            <c:marker>
              <c:symbol val="auto"/>
            </c:marker>
            <c:bubble3D val="0"/>
            <c:extLst>
              <c:ext xmlns:c16="http://schemas.microsoft.com/office/drawing/2014/chart" uri="{C3380CC4-5D6E-409C-BE32-E72D297353CC}">
                <c16:uniqueId val="{00000002-C58A-4D00-8039-908775A4B6F9}"/>
              </c:ext>
            </c:extLst>
          </c:dPt>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3-C58A-4D00-8039-908775A4B6F9}"/>
            </c:ext>
          </c:extLst>
        </c:ser>
        <c:ser>
          <c:idx val="4"/>
          <c:order val="3"/>
          <c:marker>
            <c:symbol val="none"/>
          </c:marker>
          <c:dPt>
            <c:idx val="2"/>
            <c:marker>
              <c:symbol val="auto"/>
            </c:marker>
            <c:bubble3D val="0"/>
            <c:extLst>
              <c:ext xmlns:c16="http://schemas.microsoft.com/office/drawing/2014/chart" uri="{C3380CC4-5D6E-409C-BE32-E72D297353CC}">
                <c16:uniqueId val="{00000004-C58A-4D00-8039-908775A4B6F9}"/>
              </c:ext>
            </c:extLst>
          </c:dPt>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5-C58A-4D00-8039-908775A4B6F9}"/>
            </c:ext>
          </c:extLst>
        </c:ser>
        <c:ser>
          <c:idx val="2"/>
          <c:order val="4"/>
          <c:spPr>
            <a:ln w="25400">
              <a:prstDash val="sysDash"/>
            </a:ln>
          </c:spPr>
          <c:marker>
            <c:symbol val="none"/>
          </c:marker>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6-C58A-4D00-8039-908775A4B6F9}"/>
            </c:ext>
          </c:extLst>
        </c:ser>
        <c:ser>
          <c:idx val="5"/>
          <c:order val="5"/>
          <c:spPr>
            <a:ln w="25400">
              <a:prstDash val="sysDash"/>
            </a:ln>
          </c:spPr>
          <c:marker>
            <c:symbol val="none"/>
          </c:marker>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7-C58A-4D00-8039-908775A4B6F9}"/>
            </c:ext>
          </c:extLst>
        </c:ser>
        <c:ser>
          <c:idx val="6"/>
          <c:order val="6"/>
          <c:spPr>
            <a:ln w="25400">
              <a:prstDash val="sysDash"/>
            </a:ln>
          </c:spPr>
          <c:marker>
            <c:symbol val="none"/>
          </c:marker>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8-C58A-4D00-8039-908775A4B6F9}"/>
            </c:ext>
          </c:extLst>
        </c:ser>
        <c:ser>
          <c:idx val="7"/>
          <c:order val="7"/>
          <c:spPr>
            <a:ln w="25400">
              <a:prstDash val="sysDash"/>
            </a:ln>
          </c:spPr>
          <c:marker>
            <c:symbol val="none"/>
          </c:marker>
          <c:xVal>
            <c:strRef>
              <c:f>TOOL!#REF!</c:f>
              <c:strCache>
                <c:ptCount val="1"/>
                <c:pt idx="0">
                  <c:v>#REF!</c:v>
                </c:pt>
              </c:strCache>
            </c:strRef>
          </c:xVal>
          <c:yVal>
            <c:numRef>
              <c:f>TOOL!#REF!</c:f>
              <c:numCache>
                <c:formatCode>General</c:formatCode>
                <c:ptCount val="1"/>
                <c:pt idx="0">
                  <c:v>1</c:v>
                </c:pt>
              </c:numCache>
            </c:numRef>
          </c:yVal>
          <c:smooth val="0"/>
          <c:extLst>
            <c:ext xmlns:c15="http://schemas.microsoft.com/office/drawing/2012/chart" uri="{02D57815-91ED-43cb-92C2-25804820EDAC}">
              <c15:filteredSeriesTitle>
                <c15:tx>
                  <c:strRef>
                    <c:extLst>
                      <c:ext uri="{02D57815-91ED-43cb-92C2-25804820EDAC}">
                        <c15:formulaRef>
                          <c15:sqref>TOOL!#REF!</c15:sqref>
                        </c15:formulaRef>
                      </c:ext>
                    </c:extLst>
                    <c:strCache>
                      <c:ptCount val="1"/>
                      <c:pt idx="0">
                        <c:v>#REF!</c:v>
                      </c:pt>
                    </c:strCache>
                  </c:strRef>
                </c15:tx>
              </c15:filteredSeriesTitle>
            </c:ext>
            <c:ext xmlns:c16="http://schemas.microsoft.com/office/drawing/2014/chart" uri="{C3380CC4-5D6E-409C-BE32-E72D297353CC}">
              <c16:uniqueId val="{00000009-C58A-4D00-8039-908775A4B6F9}"/>
            </c:ext>
          </c:extLst>
        </c:ser>
        <c:dLbls>
          <c:showLegendKey val="0"/>
          <c:showVal val="0"/>
          <c:showCatName val="0"/>
          <c:showSerName val="0"/>
          <c:showPercent val="0"/>
          <c:showBubbleSize val="0"/>
        </c:dLbls>
        <c:axId val="2114482160"/>
        <c:axId val="2114471824"/>
      </c:scatterChart>
      <c:valAx>
        <c:axId val="2114479440"/>
        <c:scaling>
          <c:orientation val="minMax"/>
          <c:max val="3.5"/>
          <c:min val="1"/>
        </c:scaling>
        <c:delete val="0"/>
        <c:axPos val="b"/>
        <c:title>
          <c:tx>
            <c:rich>
              <a:bodyPr/>
              <a:lstStyle/>
              <a:p>
                <a:pPr>
                  <a:defRPr lang="ja-JP" sz="1000">
                    <a:latin typeface="Arial" panose="020B0604020202020204" pitchFamily="34" charset="0"/>
                    <a:cs typeface="Arial" panose="020B0604020202020204" pitchFamily="34" charset="0"/>
                  </a:defRPr>
                </a:pPr>
                <a:r>
                  <a:rPr lang="en-US" altLang="zh-CN" sz="1000">
                    <a:latin typeface="Arial" panose="020B0604020202020204" pitchFamily="34" charset="0"/>
                    <a:cs typeface="Arial" panose="020B0604020202020204" pitchFamily="34" charset="0"/>
                  </a:rPr>
                  <a:t>Vc(V)</a:t>
                </a:r>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lang="ja-JP" sz="825" b="0" i="0" u="none" strike="noStrike" baseline="0">
                <a:solidFill>
                  <a:srgbClr val="000000"/>
                </a:solidFill>
                <a:latin typeface="Arial" panose="020B0604020202020204" pitchFamily="34" charset="0"/>
                <a:ea typeface="新細明體"/>
                <a:cs typeface="Arial" panose="020B0604020202020204" pitchFamily="34" charset="0"/>
              </a:defRPr>
            </a:pPr>
            <a:endParaRPr lang="en-US"/>
          </a:p>
        </c:txPr>
        <c:crossAx val="2114475632"/>
        <c:crosses val="autoZero"/>
        <c:crossBetween val="midCat"/>
      </c:valAx>
      <c:valAx>
        <c:axId val="2114475632"/>
        <c:scaling>
          <c:orientation val="minMax"/>
        </c:scaling>
        <c:delete val="0"/>
        <c:axPos val="l"/>
        <c:majorGridlines>
          <c:spPr>
            <a:ln w="3175">
              <a:solidFill>
                <a:srgbClr val="000000"/>
              </a:solidFill>
              <a:prstDash val="solid"/>
            </a:ln>
          </c:spPr>
        </c:majorGridlines>
        <c:title>
          <c:tx>
            <c:rich>
              <a:bodyPr/>
              <a:lstStyle/>
              <a:p>
                <a:pPr>
                  <a:defRPr lang="ja-JP" sz="1000">
                    <a:latin typeface="Arial" panose="020B0604020202020204" pitchFamily="34" charset="0"/>
                    <a:cs typeface="Arial" panose="020B0604020202020204" pitchFamily="34" charset="0"/>
                  </a:defRPr>
                </a:pPr>
                <a:r>
                  <a:rPr lang="en-US" altLang="zh-CN" sz="1000">
                    <a:latin typeface="Arial" panose="020B0604020202020204" pitchFamily="34" charset="0"/>
                    <a:cs typeface="Arial" panose="020B0604020202020204" pitchFamily="34" charset="0"/>
                  </a:rPr>
                  <a:t>Fsw(kHz)</a:t>
                </a:r>
              </a:p>
            </c:rich>
          </c:tx>
          <c:overlay val="0"/>
        </c:title>
        <c:numFmt formatCode="General" sourceLinked="1"/>
        <c:majorTickMark val="in"/>
        <c:minorTickMark val="none"/>
        <c:tickLblPos val="nextTo"/>
        <c:spPr>
          <a:ln w="3175">
            <a:solidFill>
              <a:srgbClr val="000000"/>
            </a:solidFill>
            <a:prstDash val="solid"/>
          </a:ln>
        </c:spPr>
        <c:txPr>
          <a:bodyPr rot="0" vert="horz"/>
          <a:lstStyle/>
          <a:p>
            <a:pPr>
              <a:defRPr lang="ja-JP" sz="825" b="0" i="0" u="none" strike="noStrike" baseline="0">
                <a:solidFill>
                  <a:srgbClr val="000000"/>
                </a:solidFill>
                <a:latin typeface="Arial" panose="020B0604020202020204" pitchFamily="34" charset="0"/>
                <a:ea typeface="新細明體"/>
                <a:cs typeface="Arial" panose="020B0604020202020204" pitchFamily="34" charset="0"/>
              </a:defRPr>
            </a:pPr>
            <a:endParaRPr lang="en-US"/>
          </a:p>
        </c:txPr>
        <c:crossAx val="2114479440"/>
        <c:crosses val="autoZero"/>
        <c:crossBetween val="midCat"/>
      </c:valAx>
      <c:valAx>
        <c:axId val="2114471824"/>
        <c:scaling>
          <c:orientation val="minMax"/>
        </c:scaling>
        <c:delete val="1"/>
        <c:axPos val="r"/>
        <c:title>
          <c:tx>
            <c:rich>
              <a:bodyPr/>
              <a:lstStyle/>
              <a:p>
                <a:pPr>
                  <a:defRPr lang="ja-JP" sz="1000">
                    <a:latin typeface="Arial" panose="020B0604020202020204" pitchFamily="34" charset="0"/>
                    <a:cs typeface="Arial" panose="020B0604020202020204" pitchFamily="34" charset="0"/>
                  </a:defRPr>
                </a:pPr>
                <a:r>
                  <a:rPr lang="en-US" altLang="zh-CN" sz="1000">
                    <a:latin typeface="Arial" panose="020B0604020202020204" pitchFamily="34" charset="0"/>
                    <a:cs typeface="Arial" panose="020B0604020202020204" pitchFamily="34" charset="0"/>
                  </a:rPr>
                  <a:t>Vipk(V)</a:t>
                </a:r>
              </a:p>
            </c:rich>
          </c:tx>
          <c:layout>
            <c:manualLayout>
              <c:xMode val="edge"/>
              <c:yMode val="edge"/>
              <c:x val="0.70305670717251356"/>
              <c:y val="0.42672261402595868"/>
            </c:manualLayout>
          </c:layout>
          <c:overlay val="0"/>
        </c:title>
        <c:numFmt formatCode="General" sourceLinked="1"/>
        <c:majorTickMark val="out"/>
        <c:minorTickMark val="none"/>
        <c:tickLblPos val="nextTo"/>
        <c:crossAx val="2114482160"/>
        <c:crosses val="max"/>
        <c:crossBetween val="midCat"/>
      </c:valAx>
      <c:valAx>
        <c:axId val="2114482160"/>
        <c:scaling>
          <c:orientation val="minMax"/>
        </c:scaling>
        <c:delete val="1"/>
        <c:axPos val="b"/>
        <c:numFmt formatCode="General" sourceLinked="1"/>
        <c:majorTickMark val="out"/>
        <c:minorTickMark val="none"/>
        <c:tickLblPos val="nextTo"/>
        <c:crossAx val="2114471824"/>
        <c:crosses val="autoZero"/>
        <c:crossBetween val="midCat"/>
      </c:valAx>
      <c:spPr>
        <a:solidFill>
          <a:srgbClr val="C0C0C0"/>
        </a:solidFill>
        <a:ln w="12700">
          <a:solidFill>
            <a:srgbClr val="808080"/>
          </a:solidFill>
          <a:prstDash val="solid"/>
        </a:ln>
      </c:spPr>
    </c:plotArea>
    <c:legend>
      <c:legendPos val="r"/>
      <c:layout>
        <c:manualLayout>
          <c:xMode val="edge"/>
          <c:yMode val="edge"/>
          <c:x val="0.75289964316760172"/>
          <c:y val="0.26480523513665938"/>
          <c:w val="0.21283445438685009"/>
          <c:h val="0.54618609508836802"/>
        </c:manualLayout>
      </c:layout>
      <c:overlay val="0"/>
      <c:txPr>
        <a:bodyPr/>
        <a:lstStyle/>
        <a:p>
          <a:pPr>
            <a:defRPr lang="ja-JP" sz="10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新細明體"/>
          <a:ea typeface="新細明體"/>
          <a:cs typeface="新細明體"/>
        </a:defRPr>
      </a:pPr>
      <a:endParaRPr lang="en-US"/>
    </a:p>
  </c:txPr>
  <c:printSettings>
    <c:headerFooter alignWithMargins="0"/>
    <c:pageMargins b="1" l="0.75000000000000056" r="0.75000000000000056"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ja-JP" sz="1400" b="0" i="0" u="none" strike="noStrike" kern="1200" spc="0" baseline="0">
                <a:solidFill>
                  <a:schemeClr val="tx1">
                    <a:lumMod val="65000"/>
                    <a:lumOff val="35000"/>
                  </a:schemeClr>
                </a:solidFill>
                <a:latin typeface="+mn-lt"/>
                <a:ea typeface="+mn-ea"/>
                <a:cs typeface="+mn-cs"/>
              </a:defRPr>
            </a:pPr>
            <a:r>
              <a:rPr lang="en-US" altLang="zh-CN" sz="1400"/>
              <a:t>LL DCM</a:t>
            </a:r>
            <a:endParaRPr lang="zh-CN" altLang="en-US" sz="1400"/>
          </a:p>
        </c:rich>
      </c:tx>
      <c:overlay val="0"/>
      <c:spPr>
        <a:noFill/>
        <a:ln>
          <a:noFill/>
        </a:ln>
        <a:effectLst/>
      </c:spPr>
      <c:txPr>
        <a:bodyPr rot="0" spcFirstLastPara="1" vertOverflow="ellipsis" vert="horz" wrap="square" anchor="ctr" anchorCtr="1"/>
        <a:lstStyle/>
        <a:p>
          <a:pPr>
            <a:defRPr lang="ja-JP" sz="1400" b="0" i="0" u="none" strike="noStrike" kern="1200" spc="0" baseline="0">
              <a:solidFill>
                <a:schemeClr val="tx1">
                  <a:lumMod val="65000"/>
                  <a:lumOff val="35000"/>
                </a:schemeClr>
              </a:solidFill>
              <a:latin typeface="+mn-lt"/>
              <a:ea typeface="+mn-ea"/>
              <a:cs typeface="+mn-cs"/>
            </a:defRPr>
          </a:pPr>
          <a:endParaRPr lang="zh-CN" altLang="en-US"/>
        </a:p>
      </c:txPr>
    </c:title>
    <c:autoTitleDeleted val="0"/>
    <c:plotArea>
      <c:layout>
        <c:manualLayout>
          <c:layoutTarget val="inner"/>
          <c:xMode val="edge"/>
          <c:yMode val="edge"/>
          <c:x val="0.15405223212532351"/>
          <c:y val="0.15235365648877036"/>
          <c:w val="0.64799119103537428"/>
          <c:h val="0.66129861143170521"/>
        </c:manualLayout>
      </c:layout>
      <c:lineChart>
        <c:grouping val="standard"/>
        <c:varyColors val="0"/>
        <c:ser>
          <c:idx val="0"/>
          <c:order val="0"/>
          <c:tx>
            <c:v>Vo F9 Fsw</c:v>
          </c:tx>
          <c:spPr>
            <a:ln w="19050" cap="rnd">
              <a:solidFill>
                <a:schemeClr val="accent1"/>
              </a:solidFill>
              <a:round/>
            </a:ln>
            <a:effectLst/>
          </c:spPr>
          <c:marker>
            <c:symbol val="none"/>
          </c:marker>
          <c:cat>
            <c:numRef>
              <c:f>LLCCM!$A$3:$A$113</c:f>
              <c:numCache>
                <c:formatCode>General</c:formatCode>
                <c:ptCount val="111"/>
                <c:pt idx="0">
                  <c:v>1.1000000000000001</c:v>
                </c:pt>
                <c:pt idx="1">
                  <c:v>1.1200000000000001</c:v>
                </c:pt>
                <c:pt idx="2">
                  <c:v>1.1399999999999999</c:v>
                </c:pt>
                <c:pt idx="3">
                  <c:v>1.1599999999999999</c:v>
                </c:pt>
                <c:pt idx="4">
                  <c:v>1.18</c:v>
                </c:pt>
                <c:pt idx="5">
                  <c:v>1.2</c:v>
                </c:pt>
                <c:pt idx="6">
                  <c:v>1.22</c:v>
                </c:pt>
                <c:pt idx="7">
                  <c:v>1.24</c:v>
                </c:pt>
                <c:pt idx="8">
                  <c:v>1.26</c:v>
                </c:pt>
                <c:pt idx="9">
                  <c:v>1.28</c:v>
                </c:pt>
                <c:pt idx="10">
                  <c:v>1.3</c:v>
                </c:pt>
                <c:pt idx="11">
                  <c:v>1.32</c:v>
                </c:pt>
                <c:pt idx="12">
                  <c:v>1.34</c:v>
                </c:pt>
                <c:pt idx="13">
                  <c:v>1.36</c:v>
                </c:pt>
                <c:pt idx="14">
                  <c:v>1.38</c:v>
                </c:pt>
                <c:pt idx="15">
                  <c:v>1.4</c:v>
                </c:pt>
                <c:pt idx="16">
                  <c:v>1.42</c:v>
                </c:pt>
                <c:pt idx="17">
                  <c:v>1.44</c:v>
                </c:pt>
                <c:pt idx="18">
                  <c:v>1.46</c:v>
                </c:pt>
                <c:pt idx="19">
                  <c:v>1.48</c:v>
                </c:pt>
                <c:pt idx="20">
                  <c:v>1.5</c:v>
                </c:pt>
                <c:pt idx="21">
                  <c:v>1.52</c:v>
                </c:pt>
                <c:pt idx="22">
                  <c:v>1.54</c:v>
                </c:pt>
                <c:pt idx="23">
                  <c:v>1.56</c:v>
                </c:pt>
                <c:pt idx="24">
                  <c:v>1.58</c:v>
                </c:pt>
                <c:pt idx="25">
                  <c:v>1.6</c:v>
                </c:pt>
                <c:pt idx="26">
                  <c:v>1.62</c:v>
                </c:pt>
                <c:pt idx="27">
                  <c:v>1.64</c:v>
                </c:pt>
                <c:pt idx="28">
                  <c:v>1.66</c:v>
                </c:pt>
                <c:pt idx="29">
                  <c:v>1.68</c:v>
                </c:pt>
                <c:pt idx="30">
                  <c:v>1.7</c:v>
                </c:pt>
                <c:pt idx="31">
                  <c:v>1.72</c:v>
                </c:pt>
                <c:pt idx="32">
                  <c:v>1.74</c:v>
                </c:pt>
                <c:pt idx="33">
                  <c:v>1.76</c:v>
                </c:pt>
                <c:pt idx="34">
                  <c:v>1.78</c:v>
                </c:pt>
                <c:pt idx="35">
                  <c:v>1.8</c:v>
                </c:pt>
                <c:pt idx="36">
                  <c:v>1.82</c:v>
                </c:pt>
                <c:pt idx="37">
                  <c:v>1.84</c:v>
                </c:pt>
                <c:pt idx="38">
                  <c:v>1.86</c:v>
                </c:pt>
                <c:pt idx="39">
                  <c:v>1.88</c:v>
                </c:pt>
                <c:pt idx="40">
                  <c:v>1.9</c:v>
                </c:pt>
                <c:pt idx="41">
                  <c:v>1.92</c:v>
                </c:pt>
                <c:pt idx="42">
                  <c:v>1.94</c:v>
                </c:pt>
                <c:pt idx="43">
                  <c:v>1.96</c:v>
                </c:pt>
                <c:pt idx="44">
                  <c:v>1.98</c:v>
                </c:pt>
                <c:pt idx="45">
                  <c:v>2</c:v>
                </c:pt>
                <c:pt idx="46">
                  <c:v>2.02</c:v>
                </c:pt>
                <c:pt idx="47">
                  <c:v>2.04</c:v>
                </c:pt>
                <c:pt idx="48">
                  <c:v>2.06</c:v>
                </c:pt>
                <c:pt idx="49">
                  <c:v>2.08</c:v>
                </c:pt>
                <c:pt idx="50">
                  <c:v>2.1</c:v>
                </c:pt>
                <c:pt idx="51">
                  <c:v>2.12</c:v>
                </c:pt>
                <c:pt idx="52">
                  <c:v>2.14</c:v>
                </c:pt>
                <c:pt idx="53">
                  <c:v>2.16</c:v>
                </c:pt>
                <c:pt idx="54">
                  <c:v>2.1800000000000002</c:v>
                </c:pt>
                <c:pt idx="55">
                  <c:v>2.2000000000000002</c:v>
                </c:pt>
                <c:pt idx="56">
                  <c:v>2.2200000000000002</c:v>
                </c:pt>
                <c:pt idx="57">
                  <c:v>2.2400000000000002</c:v>
                </c:pt>
                <c:pt idx="58">
                  <c:v>2.2599999999999998</c:v>
                </c:pt>
                <c:pt idx="59">
                  <c:v>2.2799999999999998</c:v>
                </c:pt>
                <c:pt idx="60">
                  <c:v>2.2999999999999998</c:v>
                </c:pt>
                <c:pt idx="61">
                  <c:v>2.3199999999999998</c:v>
                </c:pt>
                <c:pt idx="62">
                  <c:v>2.34</c:v>
                </c:pt>
                <c:pt idx="63">
                  <c:v>2.36</c:v>
                </c:pt>
                <c:pt idx="64">
                  <c:v>2.38</c:v>
                </c:pt>
                <c:pt idx="65">
                  <c:v>2.4</c:v>
                </c:pt>
                <c:pt idx="66">
                  <c:v>2.42</c:v>
                </c:pt>
                <c:pt idx="67">
                  <c:v>2.44</c:v>
                </c:pt>
                <c:pt idx="68">
                  <c:v>2.46</c:v>
                </c:pt>
                <c:pt idx="69">
                  <c:v>2.48</c:v>
                </c:pt>
                <c:pt idx="70">
                  <c:v>2.5</c:v>
                </c:pt>
                <c:pt idx="71">
                  <c:v>2.52</c:v>
                </c:pt>
                <c:pt idx="72">
                  <c:v>2.54</c:v>
                </c:pt>
                <c:pt idx="73">
                  <c:v>2.56</c:v>
                </c:pt>
                <c:pt idx="74">
                  <c:v>2.58</c:v>
                </c:pt>
                <c:pt idx="75">
                  <c:v>2.6</c:v>
                </c:pt>
                <c:pt idx="76">
                  <c:v>2.62</c:v>
                </c:pt>
                <c:pt idx="77">
                  <c:v>2.64</c:v>
                </c:pt>
                <c:pt idx="78">
                  <c:v>2.66</c:v>
                </c:pt>
                <c:pt idx="79">
                  <c:v>2.68</c:v>
                </c:pt>
                <c:pt idx="80">
                  <c:v>2.7</c:v>
                </c:pt>
                <c:pt idx="81">
                  <c:v>2.72</c:v>
                </c:pt>
                <c:pt idx="82">
                  <c:v>2.74</c:v>
                </c:pt>
                <c:pt idx="83">
                  <c:v>2.76</c:v>
                </c:pt>
                <c:pt idx="84">
                  <c:v>2.78</c:v>
                </c:pt>
                <c:pt idx="85">
                  <c:v>2.8</c:v>
                </c:pt>
                <c:pt idx="86">
                  <c:v>2.82</c:v>
                </c:pt>
                <c:pt idx="87">
                  <c:v>2.84</c:v>
                </c:pt>
                <c:pt idx="88">
                  <c:v>2.86</c:v>
                </c:pt>
                <c:pt idx="89">
                  <c:v>2.88</c:v>
                </c:pt>
                <c:pt idx="90">
                  <c:v>2.9</c:v>
                </c:pt>
                <c:pt idx="91">
                  <c:v>2.92</c:v>
                </c:pt>
                <c:pt idx="92">
                  <c:v>2.94</c:v>
                </c:pt>
                <c:pt idx="93">
                  <c:v>2.96</c:v>
                </c:pt>
                <c:pt idx="94">
                  <c:v>2.98</c:v>
                </c:pt>
                <c:pt idx="95">
                  <c:v>3</c:v>
                </c:pt>
                <c:pt idx="96">
                  <c:v>3.02</c:v>
                </c:pt>
                <c:pt idx="97">
                  <c:v>3.04</c:v>
                </c:pt>
                <c:pt idx="98">
                  <c:v>3.06</c:v>
                </c:pt>
                <c:pt idx="99">
                  <c:v>3.08</c:v>
                </c:pt>
                <c:pt idx="100">
                  <c:v>3.1</c:v>
                </c:pt>
                <c:pt idx="101">
                  <c:v>3.12</c:v>
                </c:pt>
                <c:pt idx="102">
                  <c:v>3.14</c:v>
                </c:pt>
                <c:pt idx="103">
                  <c:v>3.16</c:v>
                </c:pt>
                <c:pt idx="104">
                  <c:v>3.18</c:v>
                </c:pt>
                <c:pt idx="105">
                  <c:v>3.2</c:v>
                </c:pt>
                <c:pt idx="106">
                  <c:v>3.22</c:v>
                </c:pt>
                <c:pt idx="107">
                  <c:v>3.24</c:v>
                </c:pt>
                <c:pt idx="108">
                  <c:v>3.26</c:v>
                </c:pt>
                <c:pt idx="109">
                  <c:v>3.28</c:v>
                </c:pt>
                <c:pt idx="110">
                  <c:v>3.3</c:v>
                </c:pt>
              </c:numCache>
            </c:numRef>
          </c:cat>
          <c:val>
            <c:numRef>
              <c:f>LLDCM!$G$3:$G$113</c:f>
              <c:numCache>
                <c:formatCode>General</c:formatCode>
                <c:ptCount val="11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26.135976188501555</c:v>
                </c:pt>
                <c:pt idx="27">
                  <c:v>27.757838454671788</c:v>
                </c:pt>
                <c:pt idx="28">
                  <c:v>29.375407832216681</c:v>
                </c:pt>
                <c:pt idx="29">
                  <c:v>30.988701342805484</c:v>
                </c:pt>
                <c:pt idx="30">
                  <c:v>32.597735918236403</c:v>
                </c:pt>
                <c:pt idx="31">
                  <c:v>34.202528401028943</c:v>
                </c:pt>
                <c:pt idx="32">
                  <c:v>35.803095545011573</c:v>
                </c:pt>
                <c:pt idx="33">
                  <c:v>37.399454015904766</c:v>
                </c:pt>
                <c:pt idx="34">
                  <c:v>38.991620391899417</c:v>
                </c:pt>
                <c:pt idx="35">
                  <c:v>40.579611164230762</c:v>
                </c:pt>
                <c:pt idx="36">
                  <c:v>42.163442737747715</c:v>
                </c:pt>
                <c:pt idx="37">
                  <c:v>43.743131431477806</c:v>
                </c:pt>
                <c:pt idx="38">
                  <c:v>45.318693479187658</c:v>
                </c:pt>
                <c:pt idx="39">
                  <c:v>46.890145029939049</c:v>
                </c:pt>
                <c:pt idx="40">
                  <c:v>48.457502148640714</c:v>
                </c:pt>
                <c:pt idx="41">
                  <c:v>50.020780816595753</c:v>
                </c:pt>
                <c:pt idx="42">
                  <c:v>51.579996932044807</c:v>
                </c:pt>
                <c:pt idx="43">
                  <c:v>53.135166310704996</c:v>
                </c:pt>
                <c:pt idx="44">
                  <c:v>54.686304686304702</c:v>
                </c:pt>
                <c:pt idx="45">
                  <c:v>56.233427711114125</c:v>
                </c:pt>
                <c:pt idx="46">
                  <c:v>57.776550956471802</c:v>
                </c:pt>
                <c:pt idx="47">
                  <c:v>59.31568991330699</c:v>
                </c:pt>
                <c:pt idx="48">
                  <c:v>60.850859992658073</c:v>
                </c:pt>
                <c:pt idx="49">
                  <c:v>62.382076526186857</c:v>
                </c:pt>
                <c:pt idx="50">
                  <c:v>63.909354766688985</c:v>
                </c:pt>
                <c:pt idx="51">
                  <c:v>63.909354766688985</c:v>
                </c:pt>
                <c:pt idx="52">
                  <c:v>63.909354766688985</c:v>
                </c:pt>
                <c:pt idx="53">
                  <c:v>63.909354766688985</c:v>
                </c:pt>
                <c:pt idx="54">
                  <c:v>63.909354766688985</c:v>
                </c:pt>
                <c:pt idx="55">
                  <c:v>63.909354766688985</c:v>
                </c:pt>
                <c:pt idx="56">
                  <c:v>63.909354766688985</c:v>
                </c:pt>
                <c:pt idx="57">
                  <c:v>63.909354766688985</c:v>
                </c:pt>
                <c:pt idx="58">
                  <c:v>63.909354766688985</c:v>
                </c:pt>
                <c:pt idx="59">
                  <c:v>63.909354766688985</c:v>
                </c:pt>
                <c:pt idx="60">
                  <c:v>63.909354766688985</c:v>
                </c:pt>
                <c:pt idx="61">
                  <c:v>63.909354766688985</c:v>
                </c:pt>
                <c:pt idx="62">
                  <c:v>63.909354766688985</c:v>
                </c:pt>
                <c:pt idx="63">
                  <c:v>63.909354766688985</c:v>
                </c:pt>
                <c:pt idx="64">
                  <c:v>63.909354766688985</c:v>
                </c:pt>
                <c:pt idx="65">
                  <c:v>63.909354766688985</c:v>
                </c:pt>
                <c:pt idx="66">
                  <c:v>63.909354766688985</c:v>
                </c:pt>
                <c:pt idx="67">
                  <c:v>63.909354766688985</c:v>
                </c:pt>
                <c:pt idx="68">
                  <c:v>63.909354766688985</c:v>
                </c:pt>
                <c:pt idx="69">
                  <c:v>63.909354766688985</c:v>
                </c:pt>
                <c:pt idx="70">
                  <c:v>63.909354766688985</c:v>
                </c:pt>
                <c:pt idx="71">
                  <c:v>63.909354766688985</c:v>
                </c:pt>
                <c:pt idx="72">
                  <c:v>63.909354766688985</c:v>
                </c:pt>
                <c:pt idx="73">
                  <c:v>63.909354766688985</c:v>
                </c:pt>
                <c:pt idx="74">
                  <c:v>63.909354766688985</c:v>
                </c:pt>
                <c:pt idx="75">
                  <c:v>63.909354766688985</c:v>
                </c:pt>
                <c:pt idx="76">
                  <c:v>63.909354766688985</c:v>
                </c:pt>
                <c:pt idx="77">
                  <c:v>63.909354766688985</c:v>
                </c:pt>
                <c:pt idx="78">
                  <c:v>63.909354766688985</c:v>
                </c:pt>
                <c:pt idx="79">
                  <c:v>63.909354766688985</c:v>
                </c:pt>
                <c:pt idx="80">
                  <c:v>63.909354766688985</c:v>
                </c:pt>
                <c:pt idx="81">
                  <c:v>63.909354766688985</c:v>
                </c:pt>
                <c:pt idx="82">
                  <c:v>63.909354766688985</c:v>
                </c:pt>
                <c:pt idx="83">
                  <c:v>63.909354766688985</c:v>
                </c:pt>
                <c:pt idx="84">
                  <c:v>63.909354766688985</c:v>
                </c:pt>
                <c:pt idx="85">
                  <c:v>63.909354766688985</c:v>
                </c:pt>
                <c:pt idx="86">
                  <c:v>63.909354766688985</c:v>
                </c:pt>
                <c:pt idx="87">
                  <c:v>63.909354766688985</c:v>
                </c:pt>
                <c:pt idx="88">
                  <c:v>63.909354766688985</c:v>
                </c:pt>
                <c:pt idx="89">
                  <c:v>63.909354766688985</c:v>
                </c:pt>
                <c:pt idx="90">
                  <c:v>63.909354766688985</c:v>
                </c:pt>
                <c:pt idx="91">
                  <c:v>63.909354766688985</c:v>
                </c:pt>
                <c:pt idx="92">
                  <c:v>63.909354766688985</c:v>
                </c:pt>
                <c:pt idx="93">
                  <c:v>63.909354766688985</c:v>
                </c:pt>
                <c:pt idx="94">
                  <c:v>63.909354766688985</c:v>
                </c:pt>
                <c:pt idx="95">
                  <c:v>63.495199121379287</c:v>
                </c:pt>
                <c:pt idx="96">
                  <c:v>62.864789832250388</c:v>
                </c:pt>
                <c:pt idx="97">
                  <c:v>62.246775462457784</c:v>
                </c:pt>
                <c:pt idx="98">
                  <c:v>61.640794012951922</c:v>
                </c:pt>
                <c:pt idx="99">
                  <c:v>61.046497445229647</c:v>
                </c:pt>
                <c:pt idx="100">
                  <c:v>60.463551014772754</c:v>
                </c:pt>
                <c:pt idx="101">
                  <c:v>59.891632642315805</c:v>
                </c:pt>
                <c:pt idx="102">
                  <c:v>59.330432320462442</c:v>
                </c:pt>
                <c:pt idx="103">
                  <c:v>58.779651553353041</c:v>
                </c:pt>
                <c:pt idx="104">
                  <c:v>58.239002827255355</c:v>
                </c:pt>
                <c:pt idx="105">
                  <c:v>57.708209110105862</c:v>
                </c:pt>
                <c:pt idx="106">
                  <c:v>57.187003378170914</c:v>
                </c:pt>
                <c:pt idx="107">
                  <c:v>56.675128168129028</c:v>
                </c:pt>
                <c:pt idx="108">
                  <c:v>56.172335152995139</c:v>
                </c:pt>
                <c:pt idx="109">
                  <c:v>55.678384740419574</c:v>
                </c:pt>
                <c:pt idx="110">
                  <c:v>55.193045691996495</c:v>
                </c:pt>
              </c:numCache>
            </c:numRef>
          </c:val>
          <c:smooth val="0"/>
          <c:extLst>
            <c:ext xmlns:c16="http://schemas.microsoft.com/office/drawing/2014/chart" uri="{C3380CC4-5D6E-409C-BE32-E72D297353CC}">
              <c16:uniqueId val="{00000000-DD19-49E0-A2BF-A9033B5C80CC}"/>
            </c:ext>
          </c:extLst>
        </c:ser>
        <c:ser>
          <c:idx val="2"/>
          <c:order val="2"/>
          <c:tx>
            <c:v>Vo J9 Fsw</c:v>
          </c:tx>
          <c:spPr>
            <a:ln w="19050" cap="rnd">
              <a:solidFill>
                <a:schemeClr val="accent3"/>
              </a:solidFill>
              <a:round/>
            </a:ln>
            <a:effectLst/>
          </c:spPr>
          <c:marker>
            <c:symbol val="none"/>
          </c:marker>
          <c:cat>
            <c:numRef>
              <c:f>LLCCM!$A$3:$A$113</c:f>
              <c:numCache>
                <c:formatCode>General</c:formatCode>
                <c:ptCount val="111"/>
                <c:pt idx="0">
                  <c:v>1.1000000000000001</c:v>
                </c:pt>
                <c:pt idx="1">
                  <c:v>1.1200000000000001</c:v>
                </c:pt>
                <c:pt idx="2">
                  <c:v>1.1399999999999999</c:v>
                </c:pt>
                <c:pt idx="3">
                  <c:v>1.1599999999999999</c:v>
                </c:pt>
                <c:pt idx="4">
                  <c:v>1.18</c:v>
                </c:pt>
                <c:pt idx="5">
                  <c:v>1.2</c:v>
                </c:pt>
                <c:pt idx="6">
                  <c:v>1.22</c:v>
                </c:pt>
                <c:pt idx="7">
                  <c:v>1.24</c:v>
                </c:pt>
                <c:pt idx="8">
                  <c:v>1.26</c:v>
                </c:pt>
                <c:pt idx="9">
                  <c:v>1.28</c:v>
                </c:pt>
                <c:pt idx="10">
                  <c:v>1.3</c:v>
                </c:pt>
                <c:pt idx="11">
                  <c:v>1.32</c:v>
                </c:pt>
                <c:pt idx="12">
                  <c:v>1.34</c:v>
                </c:pt>
                <c:pt idx="13">
                  <c:v>1.36</c:v>
                </c:pt>
                <c:pt idx="14">
                  <c:v>1.38</c:v>
                </c:pt>
                <c:pt idx="15">
                  <c:v>1.4</c:v>
                </c:pt>
                <c:pt idx="16">
                  <c:v>1.42</c:v>
                </c:pt>
                <c:pt idx="17">
                  <c:v>1.44</c:v>
                </c:pt>
                <c:pt idx="18">
                  <c:v>1.46</c:v>
                </c:pt>
                <c:pt idx="19">
                  <c:v>1.48</c:v>
                </c:pt>
                <c:pt idx="20">
                  <c:v>1.5</c:v>
                </c:pt>
                <c:pt idx="21">
                  <c:v>1.52</c:v>
                </c:pt>
                <c:pt idx="22">
                  <c:v>1.54</c:v>
                </c:pt>
                <c:pt idx="23">
                  <c:v>1.56</c:v>
                </c:pt>
                <c:pt idx="24">
                  <c:v>1.58</c:v>
                </c:pt>
                <c:pt idx="25">
                  <c:v>1.6</c:v>
                </c:pt>
                <c:pt idx="26">
                  <c:v>1.62</c:v>
                </c:pt>
                <c:pt idx="27">
                  <c:v>1.64</c:v>
                </c:pt>
                <c:pt idx="28">
                  <c:v>1.66</c:v>
                </c:pt>
                <c:pt idx="29">
                  <c:v>1.68</c:v>
                </c:pt>
                <c:pt idx="30">
                  <c:v>1.7</c:v>
                </c:pt>
                <c:pt idx="31">
                  <c:v>1.72</c:v>
                </c:pt>
                <c:pt idx="32">
                  <c:v>1.74</c:v>
                </c:pt>
                <c:pt idx="33">
                  <c:v>1.76</c:v>
                </c:pt>
                <c:pt idx="34">
                  <c:v>1.78</c:v>
                </c:pt>
                <c:pt idx="35">
                  <c:v>1.8</c:v>
                </c:pt>
                <c:pt idx="36">
                  <c:v>1.82</c:v>
                </c:pt>
                <c:pt idx="37">
                  <c:v>1.84</c:v>
                </c:pt>
                <c:pt idx="38">
                  <c:v>1.86</c:v>
                </c:pt>
                <c:pt idx="39">
                  <c:v>1.88</c:v>
                </c:pt>
                <c:pt idx="40">
                  <c:v>1.9</c:v>
                </c:pt>
                <c:pt idx="41">
                  <c:v>1.92</c:v>
                </c:pt>
                <c:pt idx="42">
                  <c:v>1.94</c:v>
                </c:pt>
                <c:pt idx="43">
                  <c:v>1.96</c:v>
                </c:pt>
                <c:pt idx="44">
                  <c:v>1.98</c:v>
                </c:pt>
                <c:pt idx="45">
                  <c:v>2</c:v>
                </c:pt>
                <c:pt idx="46">
                  <c:v>2.02</c:v>
                </c:pt>
                <c:pt idx="47">
                  <c:v>2.04</c:v>
                </c:pt>
                <c:pt idx="48">
                  <c:v>2.06</c:v>
                </c:pt>
                <c:pt idx="49">
                  <c:v>2.08</c:v>
                </c:pt>
                <c:pt idx="50">
                  <c:v>2.1</c:v>
                </c:pt>
                <c:pt idx="51">
                  <c:v>2.12</c:v>
                </c:pt>
                <c:pt idx="52">
                  <c:v>2.14</c:v>
                </c:pt>
                <c:pt idx="53">
                  <c:v>2.16</c:v>
                </c:pt>
                <c:pt idx="54">
                  <c:v>2.1800000000000002</c:v>
                </c:pt>
                <c:pt idx="55">
                  <c:v>2.2000000000000002</c:v>
                </c:pt>
                <c:pt idx="56">
                  <c:v>2.2200000000000002</c:v>
                </c:pt>
                <c:pt idx="57">
                  <c:v>2.2400000000000002</c:v>
                </c:pt>
                <c:pt idx="58">
                  <c:v>2.2599999999999998</c:v>
                </c:pt>
                <c:pt idx="59">
                  <c:v>2.2799999999999998</c:v>
                </c:pt>
                <c:pt idx="60">
                  <c:v>2.2999999999999998</c:v>
                </c:pt>
                <c:pt idx="61">
                  <c:v>2.3199999999999998</c:v>
                </c:pt>
                <c:pt idx="62">
                  <c:v>2.34</c:v>
                </c:pt>
                <c:pt idx="63">
                  <c:v>2.36</c:v>
                </c:pt>
                <c:pt idx="64">
                  <c:v>2.38</c:v>
                </c:pt>
                <c:pt idx="65">
                  <c:v>2.4</c:v>
                </c:pt>
                <c:pt idx="66">
                  <c:v>2.42</c:v>
                </c:pt>
                <c:pt idx="67">
                  <c:v>2.44</c:v>
                </c:pt>
                <c:pt idx="68">
                  <c:v>2.46</c:v>
                </c:pt>
                <c:pt idx="69">
                  <c:v>2.48</c:v>
                </c:pt>
                <c:pt idx="70">
                  <c:v>2.5</c:v>
                </c:pt>
                <c:pt idx="71">
                  <c:v>2.52</c:v>
                </c:pt>
                <c:pt idx="72">
                  <c:v>2.54</c:v>
                </c:pt>
                <c:pt idx="73">
                  <c:v>2.56</c:v>
                </c:pt>
                <c:pt idx="74">
                  <c:v>2.58</c:v>
                </c:pt>
                <c:pt idx="75">
                  <c:v>2.6</c:v>
                </c:pt>
                <c:pt idx="76">
                  <c:v>2.62</c:v>
                </c:pt>
                <c:pt idx="77">
                  <c:v>2.64</c:v>
                </c:pt>
                <c:pt idx="78">
                  <c:v>2.66</c:v>
                </c:pt>
                <c:pt idx="79">
                  <c:v>2.68</c:v>
                </c:pt>
                <c:pt idx="80">
                  <c:v>2.7</c:v>
                </c:pt>
                <c:pt idx="81">
                  <c:v>2.72</c:v>
                </c:pt>
                <c:pt idx="82">
                  <c:v>2.74</c:v>
                </c:pt>
                <c:pt idx="83">
                  <c:v>2.76</c:v>
                </c:pt>
                <c:pt idx="84">
                  <c:v>2.78</c:v>
                </c:pt>
                <c:pt idx="85">
                  <c:v>2.8</c:v>
                </c:pt>
                <c:pt idx="86">
                  <c:v>2.82</c:v>
                </c:pt>
                <c:pt idx="87">
                  <c:v>2.84</c:v>
                </c:pt>
                <c:pt idx="88">
                  <c:v>2.86</c:v>
                </c:pt>
                <c:pt idx="89">
                  <c:v>2.88</c:v>
                </c:pt>
                <c:pt idx="90">
                  <c:v>2.9</c:v>
                </c:pt>
                <c:pt idx="91">
                  <c:v>2.92</c:v>
                </c:pt>
                <c:pt idx="92">
                  <c:v>2.94</c:v>
                </c:pt>
                <c:pt idx="93">
                  <c:v>2.96</c:v>
                </c:pt>
                <c:pt idx="94">
                  <c:v>2.98</c:v>
                </c:pt>
                <c:pt idx="95">
                  <c:v>3</c:v>
                </c:pt>
                <c:pt idx="96">
                  <c:v>3.02</c:v>
                </c:pt>
                <c:pt idx="97">
                  <c:v>3.04</c:v>
                </c:pt>
                <c:pt idx="98">
                  <c:v>3.06</c:v>
                </c:pt>
                <c:pt idx="99">
                  <c:v>3.08</c:v>
                </c:pt>
                <c:pt idx="100">
                  <c:v>3.1</c:v>
                </c:pt>
                <c:pt idx="101">
                  <c:v>3.12</c:v>
                </c:pt>
                <c:pt idx="102">
                  <c:v>3.14</c:v>
                </c:pt>
                <c:pt idx="103">
                  <c:v>3.16</c:v>
                </c:pt>
                <c:pt idx="104">
                  <c:v>3.18</c:v>
                </c:pt>
                <c:pt idx="105">
                  <c:v>3.2</c:v>
                </c:pt>
                <c:pt idx="106">
                  <c:v>3.22</c:v>
                </c:pt>
                <c:pt idx="107">
                  <c:v>3.24</c:v>
                </c:pt>
                <c:pt idx="108">
                  <c:v>3.26</c:v>
                </c:pt>
                <c:pt idx="109">
                  <c:v>3.28</c:v>
                </c:pt>
                <c:pt idx="110">
                  <c:v>3.3</c:v>
                </c:pt>
              </c:numCache>
            </c:numRef>
          </c:cat>
          <c:val>
            <c:numRef>
              <c:f>LLDCM!$R$3:$R$113</c:f>
              <c:numCache>
                <c:formatCode>General</c:formatCode>
                <c:ptCount val="11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numCache>
            </c:numRef>
          </c:val>
          <c:smooth val="0"/>
          <c:extLst>
            <c:ext xmlns:c16="http://schemas.microsoft.com/office/drawing/2014/chart" uri="{C3380CC4-5D6E-409C-BE32-E72D297353CC}">
              <c16:uniqueId val="{00000001-DD19-49E0-A2BF-A9033B5C80CC}"/>
            </c:ext>
          </c:extLst>
        </c:ser>
        <c:dLbls>
          <c:showLegendKey val="0"/>
          <c:showVal val="0"/>
          <c:showCatName val="0"/>
          <c:showSerName val="0"/>
          <c:showPercent val="0"/>
          <c:showBubbleSize val="0"/>
        </c:dLbls>
        <c:marker val="1"/>
        <c:smooth val="0"/>
        <c:axId val="1560808400"/>
        <c:axId val="1560804656"/>
      </c:lineChart>
      <c:lineChart>
        <c:grouping val="standard"/>
        <c:varyColors val="0"/>
        <c:ser>
          <c:idx val="1"/>
          <c:order val="1"/>
          <c:tx>
            <c:v>Vo F9 Po</c:v>
          </c:tx>
          <c:spPr>
            <a:ln w="19050" cap="rnd">
              <a:solidFill>
                <a:schemeClr val="accent2"/>
              </a:solidFill>
              <a:round/>
            </a:ln>
            <a:effectLst/>
          </c:spPr>
          <c:marker>
            <c:symbol val="none"/>
          </c:marker>
          <c:cat>
            <c:numRef>
              <c:f>LLCCM!$A$3:$A$113</c:f>
              <c:numCache>
                <c:formatCode>General</c:formatCode>
                <c:ptCount val="111"/>
                <c:pt idx="0">
                  <c:v>1.1000000000000001</c:v>
                </c:pt>
                <c:pt idx="1">
                  <c:v>1.1200000000000001</c:v>
                </c:pt>
                <c:pt idx="2">
                  <c:v>1.1399999999999999</c:v>
                </c:pt>
                <c:pt idx="3">
                  <c:v>1.1599999999999999</c:v>
                </c:pt>
                <c:pt idx="4">
                  <c:v>1.18</c:v>
                </c:pt>
                <c:pt idx="5">
                  <c:v>1.2</c:v>
                </c:pt>
                <c:pt idx="6">
                  <c:v>1.22</c:v>
                </c:pt>
                <c:pt idx="7">
                  <c:v>1.24</c:v>
                </c:pt>
                <c:pt idx="8">
                  <c:v>1.26</c:v>
                </c:pt>
                <c:pt idx="9">
                  <c:v>1.28</c:v>
                </c:pt>
                <c:pt idx="10">
                  <c:v>1.3</c:v>
                </c:pt>
                <c:pt idx="11">
                  <c:v>1.32</c:v>
                </c:pt>
                <c:pt idx="12">
                  <c:v>1.34</c:v>
                </c:pt>
                <c:pt idx="13">
                  <c:v>1.36</c:v>
                </c:pt>
                <c:pt idx="14">
                  <c:v>1.38</c:v>
                </c:pt>
                <c:pt idx="15">
                  <c:v>1.4</c:v>
                </c:pt>
                <c:pt idx="16">
                  <c:v>1.42</c:v>
                </c:pt>
                <c:pt idx="17">
                  <c:v>1.44</c:v>
                </c:pt>
                <c:pt idx="18">
                  <c:v>1.46</c:v>
                </c:pt>
                <c:pt idx="19">
                  <c:v>1.48</c:v>
                </c:pt>
                <c:pt idx="20">
                  <c:v>1.5</c:v>
                </c:pt>
                <c:pt idx="21">
                  <c:v>1.52</c:v>
                </c:pt>
                <c:pt idx="22">
                  <c:v>1.54</c:v>
                </c:pt>
                <c:pt idx="23">
                  <c:v>1.56</c:v>
                </c:pt>
                <c:pt idx="24">
                  <c:v>1.58</c:v>
                </c:pt>
                <c:pt idx="25">
                  <c:v>1.6</c:v>
                </c:pt>
                <c:pt idx="26">
                  <c:v>1.62</c:v>
                </c:pt>
                <c:pt idx="27">
                  <c:v>1.64</c:v>
                </c:pt>
                <c:pt idx="28">
                  <c:v>1.66</c:v>
                </c:pt>
                <c:pt idx="29">
                  <c:v>1.68</c:v>
                </c:pt>
                <c:pt idx="30">
                  <c:v>1.7</c:v>
                </c:pt>
                <c:pt idx="31">
                  <c:v>1.72</c:v>
                </c:pt>
                <c:pt idx="32">
                  <c:v>1.74</c:v>
                </c:pt>
                <c:pt idx="33">
                  <c:v>1.76</c:v>
                </c:pt>
                <c:pt idx="34">
                  <c:v>1.78</c:v>
                </c:pt>
                <c:pt idx="35">
                  <c:v>1.8</c:v>
                </c:pt>
                <c:pt idx="36">
                  <c:v>1.82</c:v>
                </c:pt>
                <c:pt idx="37">
                  <c:v>1.84</c:v>
                </c:pt>
                <c:pt idx="38">
                  <c:v>1.86</c:v>
                </c:pt>
                <c:pt idx="39">
                  <c:v>1.88</c:v>
                </c:pt>
                <c:pt idx="40">
                  <c:v>1.9</c:v>
                </c:pt>
                <c:pt idx="41">
                  <c:v>1.92</c:v>
                </c:pt>
                <c:pt idx="42">
                  <c:v>1.94</c:v>
                </c:pt>
                <c:pt idx="43">
                  <c:v>1.96</c:v>
                </c:pt>
                <c:pt idx="44">
                  <c:v>1.98</c:v>
                </c:pt>
                <c:pt idx="45">
                  <c:v>2</c:v>
                </c:pt>
                <c:pt idx="46">
                  <c:v>2.02</c:v>
                </c:pt>
                <c:pt idx="47">
                  <c:v>2.04</c:v>
                </c:pt>
                <c:pt idx="48">
                  <c:v>2.06</c:v>
                </c:pt>
                <c:pt idx="49">
                  <c:v>2.08</c:v>
                </c:pt>
                <c:pt idx="50">
                  <c:v>2.1</c:v>
                </c:pt>
                <c:pt idx="51">
                  <c:v>2.12</c:v>
                </c:pt>
                <c:pt idx="52">
                  <c:v>2.14</c:v>
                </c:pt>
                <c:pt idx="53">
                  <c:v>2.16</c:v>
                </c:pt>
                <c:pt idx="54">
                  <c:v>2.1800000000000002</c:v>
                </c:pt>
                <c:pt idx="55">
                  <c:v>2.2000000000000002</c:v>
                </c:pt>
                <c:pt idx="56">
                  <c:v>2.2200000000000002</c:v>
                </c:pt>
                <c:pt idx="57">
                  <c:v>2.2400000000000002</c:v>
                </c:pt>
                <c:pt idx="58">
                  <c:v>2.2599999999999998</c:v>
                </c:pt>
                <c:pt idx="59">
                  <c:v>2.2799999999999998</c:v>
                </c:pt>
                <c:pt idx="60">
                  <c:v>2.2999999999999998</c:v>
                </c:pt>
                <c:pt idx="61">
                  <c:v>2.3199999999999998</c:v>
                </c:pt>
                <c:pt idx="62">
                  <c:v>2.34</c:v>
                </c:pt>
                <c:pt idx="63">
                  <c:v>2.36</c:v>
                </c:pt>
                <c:pt idx="64">
                  <c:v>2.38</c:v>
                </c:pt>
                <c:pt idx="65">
                  <c:v>2.4</c:v>
                </c:pt>
                <c:pt idx="66">
                  <c:v>2.42</c:v>
                </c:pt>
                <c:pt idx="67">
                  <c:v>2.44</c:v>
                </c:pt>
                <c:pt idx="68">
                  <c:v>2.46</c:v>
                </c:pt>
                <c:pt idx="69">
                  <c:v>2.48</c:v>
                </c:pt>
                <c:pt idx="70">
                  <c:v>2.5</c:v>
                </c:pt>
                <c:pt idx="71">
                  <c:v>2.52</c:v>
                </c:pt>
                <c:pt idx="72">
                  <c:v>2.54</c:v>
                </c:pt>
                <c:pt idx="73">
                  <c:v>2.56</c:v>
                </c:pt>
                <c:pt idx="74">
                  <c:v>2.58</c:v>
                </c:pt>
                <c:pt idx="75">
                  <c:v>2.6</c:v>
                </c:pt>
                <c:pt idx="76">
                  <c:v>2.62</c:v>
                </c:pt>
                <c:pt idx="77">
                  <c:v>2.64</c:v>
                </c:pt>
                <c:pt idx="78">
                  <c:v>2.66</c:v>
                </c:pt>
                <c:pt idx="79">
                  <c:v>2.68</c:v>
                </c:pt>
                <c:pt idx="80">
                  <c:v>2.7</c:v>
                </c:pt>
                <c:pt idx="81">
                  <c:v>2.72</c:v>
                </c:pt>
                <c:pt idx="82">
                  <c:v>2.74</c:v>
                </c:pt>
                <c:pt idx="83">
                  <c:v>2.76</c:v>
                </c:pt>
                <c:pt idx="84">
                  <c:v>2.78</c:v>
                </c:pt>
                <c:pt idx="85">
                  <c:v>2.8</c:v>
                </c:pt>
                <c:pt idx="86">
                  <c:v>2.82</c:v>
                </c:pt>
                <c:pt idx="87">
                  <c:v>2.84</c:v>
                </c:pt>
                <c:pt idx="88">
                  <c:v>2.86</c:v>
                </c:pt>
                <c:pt idx="89">
                  <c:v>2.88</c:v>
                </c:pt>
                <c:pt idx="90">
                  <c:v>2.9</c:v>
                </c:pt>
                <c:pt idx="91">
                  <c:v>2.92</c:v>
                </c:pt>
                <c:pt idx="92">
                  <c:v>2.94</c:v>
                </c:pt>
                <c:pt idx="93">
                  <c:v>2.96</c:v>
                </c:pt>
                <c:pt idx="94">
                  <c:v>2.98</c:v>
                </c:pt>
                <c:pt idx="95">
                  <c:v>3</c:v>
                </c:pt>
                <c:pt idx="96">
                  <c:v>3.02</c:v>
                </c:pt>
                <c:pt idx="97">
                  <c:v>3.04</c:v>
                </c:pt>
                <c:pt idx="98">
                  <c:v>3.06</c:v>
                </c:pt>
                <c:pt idx="99">
                  <c:v>3.08</c:v>
                </c:pt>
                <c:pt idx="100">
                  <c:v>3.1</c:v>
                </c:pt>
                <c:pt idx="101">
                  <c:v>3.12</c:v>
                </c:pt>
                <c:pt idx="102">
                  <c:v>3.14</c:v>
                </c:pt>
                <c:pt idx="103">
                  <c:v>3.16</c:v>
                </c:pt>
                <c:pt idx="104">
                  <c:v>3.18</c:v>
                </c:pt>
                <c:pt idx="105">
                  <c:v>3.2</c:v>
                </c:pt>
                <c:pt idx="106">
                  <c:v>3.22</c:v>
                </c:pt>
                <c:pt idx="107">
                  <c:v>3.24</c:v>
                </c:pt>
                <c:pt idx="108">
                  <c:v>3.26</c:v>
                </c:pt>
                <c:pt idx="109">
                  <c:v>3.28</c:v>
                </c:pt>
                <c:pt idx="110">
                  <c:v>3.3</c:v>
                </c:pt>
              </c:numCache>
            </c:numRef>
          </c:cat>
          <c:val>
            <c:numRef>
              <c:f>LLDCM!$I$3:$I$113</c:f>
              <c:numCache>
                <c:formatCode>General</c:formatCode>
                <c:ptCount val="111"/>
                <c:pt idx="0">
                  <c:v>5.3964497041420127</c:v>
                </c:pt>
                <c:pt idx="1">
                  <c:v>5.4831382721893487</c:v>
                </c:pt>
                <c:pt idx="2">
                  <c:v>5.5705175857988154</c:v>
                </c:pt>
                <c:pt idx="3">
                  <c:v>5.658587644970412</c:v>
                </c:pt>
                <c:pt idx="4">
                  <c:v>5.7473484497041394</c:v>
                </c:pt>
                <c:pt idx="5">
                  <c:v>5.8367999999999975</c:v>
                </c:pt>
                <c:pt idx="6">
                  <c:v>5.9269422958579847</c:v>
                </c:pt>
                <c:pt idx="7">
                  <c:v>6.0177753372781018</c:v>
                </c:pt>
                <c:pt idx="8">
                  <c:v>6.1092991242603478</c:v>
                </c:pt>
                <c:pt idx="9">
                  <c:v>6.2015136568047282</c:v>
                </c:pt>
                <c:pt idx="10">
                  <c:v>6.2944189349112367</c:v>
                </c:pt>
                <c:pt idx="11">
                  <c:v>6.3880149585798751</c:v>
                </c:pt>
                <c:pt idx="12">
                  <c:v>6.4823017278106425</c:v>
                </c:pt>
                <c:pt idx="13">
                  <c:v>6.5772792426035425</c:v>
                </c:pt>
                <c:pt idx="14">
                  <c:v>6.6729475029585732</c:v>
                </c:pt>
                <c:pt idx="15">
                  <c:v>6.7693065088757312</c:v>
                </c:pt>
                <c:pt idx="16">
                  <c:v>6.8663562603550172</c:v>
                </c:pt>
                <c:pt idx="17">
                  <c:v>6.9640967573964403</c:v>
                </c:pt>
                <c:pt idx="18">
                  <c:v>7.0625279999999879</c:v>
                </c:pt>
                <c:pt idx="19">
                  <c:v>7.1616499881656681</c:v>
                </c:pt>
                <c:pt idx="20">
                  <c:v>7.2614627218934782</c:v>
                </c:pt>
                <c:pt idx="21">
                  <c:v>7.361966201183419</c:v>
                </c:pt>
                <c:pt idx="22">
                  <c:v>7.4631604260354889</c:v>
                </c:pt>
                <c:pt idx="23">
                  <c:v>7.5650453964496904</c:v>
                </c:pt>
                <c:pt idx="24">
                  <c:v>7.6676211124260174</c:v>
                </c:pt>
                <c:pt idx="25">
                  <c:v>7.7708875739644929</c:v>
                </c:pt>
                <c:pt idx="26">
                  <c:v>8.1239893038663435</c:v>
                </c:pt>
                <c:pt idx="27">
                  <c:v>8.6281216771009106</c:v>
                </c:pt>
                <c:pt idx="28">
                  <c:v>9.130919668140475</c:v>
                </c:pt>
                <c:pt idx="29">
                  <c:v>9.6323885679241581</c:v>
                </c:pt>
                <c:pt idx="30">
                  <c:v>10.132533639455971</c:v>
                </c:pt>
                <c:pt idx="31">
                  <c:v>10.631360117988939</c:v>
                </c:pt>
                <c:pt idx="32">
                  <c:v>11.128873211207758</c:v>
                </c:pt>
                <c:pt idx="33">
                  <c:v>11.625078099410034</c:v>
                </c:pt>
                <c:pt idx="34">
                  <c:v>12.11997993568607</c:v>
                </c:pt>
                <c:pt idx="35">
                  <c:v>12.613583846097265</c:v>
                </c:pt>
                <c:pt idx="36">
                  <c:v>13.105894929853088</c:v>
                </c:pt>
                <c:pt idx="37">
                  <c:v>13.596918259486662</c:v>
                </c:pt>
                <c:pt idx="38">
                  <c:v>14.086658881029004</c:v>
                </c:pt>
                <c:pt idx="39">
                  <c:v>14.575121814181854</c:v>
                </c:pt>
                <c:pt idx="40">
                  <c:v>15.062312052489196</c:v>
                </c:pt>
                <c:pt idx="41">
                  <c:v>15.548234563507418</c:v>
                </c:pt>
                <c:pt idx="42">
                  <c:v>16.032894288974148</c:v>
                </c:pt>
                <c:pt idx="43">
                  <c:v>16.516296144975772</c:v>
                </c:pt>
                <c:pt idx="44">
                  <c:v>16.998445022113657</c:v>
                </c:pt>
                <c:pt idx="45">
                  <c:v>17.479345785669093</c:v>
                </c:pt>
                <c:pt idx="46">
                  <c:v>17.959003275766925</c:v>
                </c:pt>
                <c:pt idx="47">
                  <c:v>18.437422307537933</c:v>
                </c:pt>
                <c:pt idx="48">
                  <c:v>18.914607671279992</c:v>
                </c:pt>
                <c:pt idx="49">
                  <c:v>19.390564132617904</c:v>
                </c:pt>
                <c:pt idx="50">
                  <c:v>19.865296432662078</c:v>
                </c:pt>
                <c:pt idx="51">
                  <c:v>20.673483292401574</c:v>
                </c:pt>
                <c:pt idx="52">
                  <c:v>21.497783881211149</c:v>
                </c:pt>
                <c:pt idx="53">
                  <c:v>22.338198199090822</c:v>
                </c:pt>
                <c:pt idx="54">
                  <c:v>23.194726246040585</c:v>
                </c:pt>
                <c:pt idx="55">
                  <c:v>24.067368022060435</c:v>
                </c:pt>
                <c:pt idx="56">
                  <c:v>24.956123527150375</c:v>
                </c:pt>
                <c:pt idx="57">
                  <c:v>25.860992761310403</c:v>
                </c:pt>
                <c:pt idx="58">
                  <c:v>26.781975724540533</c:v>
                </c:pt>
                <c:pt idx="59">
                  <c:v>27.719072416840742</c:v>
                </c:pt>
                <c:pt idx="60">
                  <c:v>28.672282838211043</c:v>
                </c:pt>
                <c:pt idx="61">
                  <c:v>29.641606988651432</c:v>
                </c:pt>
                <c:pt idx="62">
                  <c:v>30.627044868161914</c:v>
                </c:pt>
                <c:pt idx="63">
                  <c:v>31.62859647674248</c:v>
                </c:pt>
                <c:pt idx="64">
                  <c:v>32.646261814393142</c:v>
                </c:pt>
                <c:pt idx="65">
                  <c:v>33.680040881113882</c:v>
                </c:pt>
                <c:pt idx="66">
                  <c:v>34.729933676904736</c:v>
                </c:pt>
                <c:pt idx="67">
                  <c:v>35.795940201765653</c:v>
                </c:pt>
                <c:pt idx="68">
                  <c:v>36.878060455696676</c:v>
                </c:pt>
                <c:pt idx="69">
                  <c:v>37.976294438697771</c:v>
                </c:pt>
                <c:pt idx="70">
                  <c:v>39.090642150768971</c:v>
                </c:pt>
                <c:pt idx="71">
                  <c:v>40.221103591910264</c:v>
                </c:pt>
                <c:pt idx="72">
                  <c:v>41.367678762121635</c:v>
                </c:pt>
                <c:pt idx="73">
                  <c:v>42.530367661403112</c:v>
                </c:pt>
                <c:pt idx="74">
                  <c:v>43.70917028975466</c:v>
                </c:pt>
                <c:pt idx="75">
                  <c:v>44.904086647176307</c:v>
                </c:pt>
                <c:pt idx="76">
                  <c:v>46.115116733668039</c:v>
                </c:pt>
                <c:pt idx="77">
                  <c:v>47.342260549229863</c:v>
                </c:pt>
                <c:pt idx="78">
                  <c:v>48.585518093861786</c:v>
                </c:pt>
                <c:pt idx="79">
                  <c:v>49.844889367563795</c:v>
                </c:pt>
                <c:pt idx="80">
                  <c:v>51.120374370335881</c:v>
                </c:pt>
                <c:pt idx="81">
                  <c:v>52.411973102178067</c:v>
                </c:pt>
                <c:pt idx="82">
                  <c:v>53.719685563090337</c:v>
                </c:pt>
                <c:pt idx="83">
                  <c:v>55.043511753072693</c:v>
                </c:pt>
                <c:pt idx="84">
                  <c:v>56.383451672125155</c:v>
                </c:pt>
                <c:pt idx="85">
                  <c:v>57.739505320247673</c:v>
                </c:pt>
                <c:pt idx="86">
                  <c:v>59.111672697440326</c:v>
                </c:pt>
                <c:pt idx="87">
                  <c:v>60.49995380370305</c:v>
                </c:pt>
                <c:pt idx="88">
                  <c:v>61.904348639035838</c:v>
                </c:pt>
                <c:pt idx="89">
                  <c:v>63.324857203438768</c:v>
                </c:pt>
                <c:pt idx="90">
                  <c:v>64.761479496911747</c:v>
                </c:pt>
                <c:pt idx="91">
                  <c:v>66.214215519454825</c:v>
                </c:pt>
                <c:pt idx="92">
                  <c:v>67.683065271068003</c:v>
                </c:pt>
                <c:pt idx="93">
                  <c:v>69.168028751751251</c:v>
                </c:pt>
                <c:pt idx="94">
                  <c:v>70.669105961504613</c:v>
                </c:pt>
                <c:pt idx="95">
                  <c:v>71.718503687825503</c:v>
                </c:pt>
                <c:pt idx="96">
                  <c:v>72.514693287421878</c:v>
                </c:pt>
                <c:pt idx="97">
                  <c:v>73.310922980780859</c:v>
                </c:pt>
                <c:pt idx="98">
                  <c:v>74.107191596946521</c:v>
                </c:pt>
                <c:pt idx="99">
                  <c:v>74.903498010121112</c:v>
                </c:pt>
                <c:pt idx="100">
                  <c:v>75.699841137508699</c:v>
                </c:pt>
                <c:pt idx="101">
                  <c:v>76.496219937281708</c:v>
                </c:pt>
                <c:pt idx="102">
                  <c:v>77.292633406661253</c:v>
                </c:pt>
                <c:pt idx="103">
                  <c:v>78.089080580104806</c:v>
                </c:pt>
                <c:pt idx="104">
                  <c:v>78.885560527593569</c:v>
                </c:pt>
                <c:pt idx="105">
                  <c:v>79.682072353013837</c:v>
                </c:pt>
                <c:pt idx="106">
                  <c:v>80.478615192625696</c:v>
                </c:pt>
                <c:pt idx="107">
                  <c:v>81.275188213614285</c:v>
                </c:pt>
                <c:pt idx="108">
                  <c:v>82.071790612717948</c:v>
                </c:pt>
                <c:pt idx="109">
                  <c:v>82.868421614928877</c:v>
                </c:pt>
                <c:pt idx="110">
                  <c:v>83.665080472261607</c:v>
                </c:pt>
              </c:numCache>
            </c:numRef>
          </c:val>
          <c:smooth val="0"/>
          <c:extLst>
            <c:ext xmlns:c16="http://schemas.microsoft.com/office/drawing/2014/chart" uri="{C3380CC4-5D6E-409C-BE32-E72D297353CC}">
              <c16:uniqueId val="{00000004-DD19-49E0-A2BF-A9033B5C80CC}"/>
            </c:ext>
          </c:extLst>
        </c:ser>
        <c:ser>
          <c:idx val="3"/>
          <c:order val="3"/>
          <c:tx>
            <c:v>Vo J9 Po</c:v>
          </c:tx>
          <c:spPr>
            <a:ln w="19050" cap="rnd">
              <a:solidFill>
                <a:schemeClr val="accent4"/>
              </a:solidFill>
              <a:round/>
            </a:ln>
            <a:effectLst/>
          </c:spPr>
          <c:marker>
            <c:symbol val="none"/>
          </c:marker>
          <c:cat>
            <c:numRef>
              <c:f>LLCCM!$A$3:$A$113</c:f>
              <c:numCache>
                <c:formatCode>General</c:formatCode>
                <c:ptCount val="111"/>
                <c:pt idx="0">
                  <c:v>1.1000000000000001</c:v>
                </c:pt>
                <c:pt idx="1">
                  <c:v>1.1200000000000001</c:v>
                </c:pt>
                <c:pt idx="2">
                  <c:v>1.1399999999999999</c:v>
                </c:pt>
                <c:pt idx="3">
                  <c:v>1.1599999999999999</c:v>
                </c:pt>
                <c:pt idx="4">
                  <c:v>1.18</c:v>
                </c:pt>
                <c:pt idx="5">
                  <c:v>1.2</c:v>
                </c:pt>
                <c:pt idx="6">
                  <c:v>1.22</c:v>
                </c:pt>
                <c:pt idx="7">
                  <c:v>1.24</c:v>
                </c:pt>
                <c:pt idx="8">
                  <c:v>1.26</c:v>
                </c:pt>
                <c:pt idx="9">
                  <c:v>1.28</c:v>
                </c:pt>
                <c:pt idx="10">
                  <c:v>1.3</c:v>
                </c:pt>
                <c:pt idx="11">
                  <c:v>1.32</c:v>
                </c:pt>
                <c:pt idx="12">
                  <c:v>1.34</c:v>
                </c:pt>
                <c:pt idx="13">
                  <c:v>1.36</c:v>
                </c:pt>
                <c:pt idx="14">
                  <c:v>1.38</c:v>
                </c:pt>
                <c:pt idx="15">
                  <c:v>1.4</c:v>
                </c:pt>
                <c:pt idx="16">
                  <c:v>1.42</c:v>
                </c:pt>
                <c:pt idx="17">
                  <c:v>1.44</c:v>
                </c:pt>
                <c:pt idx="18">
                  <c:v>1.46</c:v>
                </c:pt>
                <c:pt idx="19">
                  <c:v>1.48</c:v>
                </c:pt>
                <c:pt idx="20">
                  <c:v>1.5</c:v>
                </c:pt>
                <c:pt idx="21">
                  <c:v>1.52</c:v>
                </c:pt>
                <c:pt idx="22">
                  <c:v>1.54</c:v>
                </c:pt>
                <c:pt idx="23">
                  <c:v>1.56</c:v>
                </c:pt>
                <c:pt idx="24">
                  <c:v>1.58</c:v>
                </c:pt>
                <c:pt idx="25">
                  <c:v>1.6</c:v>
                </c:pt>
                <c:pt idx="26">
                  <c:v>1.62</c:v>
                </c:pt>
                <c:pt idx="27">
                  <c:v>1.64</c:v>
                </c:pt>
                <c:pt idx="28">
                  <c:v>1.66</c:v>
                </c:pt>
                <c:pt idx="29">
                  <c:v>1.68</c:v>
                </c:pt>
                <c:pt idx="30">
                  <c:v>1.7</c:v>
                </c:pt>
                <c:pt idx="31">
                  <c:v>1.72</c:v>
                </c:pt>
                <c:pt idx="32">
                  <c:v>1.74</c:v>
                </c:pt>
                <c:pt idx="33">
                  <c:v>1.76</c:v>
                </c:pt>
                <c:pt idx="34">
                  <c:v>1.78</c:v>
                </c:pt>
                <c:pt idx="35">
                  <c:v>1.8</c:v>
                </c:pt>
                <c:pt idx="36">
                  <c:v>1.82</c:v>
                </c:pt>
                <c:pt idx="37">
                  <c:v>1.84</c:v>
                </c:pt>
                <c:pt idx="38">
                  <c:v>1.86</c:v>
                </c:pt>
                <c:pt idx="39">
                  <c:v>1.88</c:v>
                </c:pt>
                <c:pt idx="40">
                  <c:v>1.9</c:v>
                </c:pt>
                <c:pt idx="41">
                  <c:v>1.92</c:v>
                </c:pt>
                <c:pt idx="42">
                  <c:v>1.94</c:v>
                </c:pt>
                <c:pt idx="43">
                  <c:v>1.96</c:v>
                </c:pt>
                <c:pt idx="44">
                  <c:v>1.98</c:v>
                </c:pt>
                <c:pt idx="45">
                  <c:v>2</c:v>
                </c:pt>
                <c:pt idx="46">
                  <c:v>2.02</c:v>
                </c:pt>
                <c:pt idx="47">
                  <c:v>2.04</c:v>
                </c:pt>
                <c:pt idx="48">
                  <c:v>2.06</c:v>
                </c:pt>
                <c:pt idx="49">
                  <c:v>2.08</c:v>
                </c:pt>
                <c:pt idx="50">
                  <c:v>2.1</c:v>
                </c:pt>
                <c:pt idx="51">
                  <c:v>2.12</c:v>
                </c:pt>
                <c:pt idx="52">
                  <c:v>2.14</c:v>
                </c:pt>
                <c:pt idx="53">
                  <c:v>2.16</c:v>
                </c:pt>
                <c:pt idx="54">
                  <c:v>2.1800000000000002</c:v>
                </c:pt>
                <c:pt idx="55">
                  <c:v>2.2000000000000002</c:v>
                </c:pt>
                <c:pt idx="56">
                  <c:v>2.2200000000000002</c:v>
                </c:pt>
                <c:pt idx="57">
                  <c:v>2.2400000000000002</c:v>
                </c:pt>
                <c:pt idx="58">
                  <c:v>2.2599999999999998</c:v>
                </c:pt>
                <c:pt idx="59">
                  <c:v>2.2799999999999998</c:v>
                </c:pt>
                <c:pt idx="60">
                  <c:v>2.2999999999999998</c:v>
                </c:pt>
                <c:pt idx="61">
                  <c:v>2.3199999999999998</c:v>
                </c:pt>
                <c:pt idx="62">
                  <c:v>2.34</c:v>
                </c:pt>
                <c:pt idx="63">
                  <c:v>2.36</c:v>
                </c:pt>
                <c:pt idx="64">
                  <c:v>2.38</c:v>
                </c:pt>
                <c:pt idx="65">
                  <c:v>2.4</c:v>
                </c:pt>
                <c:pt idx="66">
                  <c:v>2.42</c:v>
                </c:pt>
                <c:pt idx="67">
                  <c:v>2.44</c:v>
                </c:pt>
                <c:pt idx="68">
                  <c:v>2.46</c:v>
                </c:pt>
                <c:pt idx="69">
                  <c:v>2.48</c:v>
                </c:pt>
                <c:pt idx="70">
                  <c:v>2.5</c:v>
                </c:pt>
                <c:pt idx="71">
                  <c:v>2.52</c:v>
                </c:pt>
                <c:pt idx="72">
                  <c:v>2.54</c:v>
                </c:pt>
                <c:pt idx="73">
                  <c:v>2.56</c:v>
                </c:pt>
                <c:pt idx="74">
                  <c:v>2.58</c:v>
                </c:pt>
                <c:pt idx="75">
                  <c:v>2.6</c:v>
                </c:pt>
                <c:pt idx="76">
                  <c:v>2.62</c:v>
                </c:pt>
                <c:pt idx="77">
                  <c:v>2.64</c:v>
                </c:pt>
                <c:pt idx="78">
                  <c:v>2.66</c:v>
                </c:pt>
                <c:pt idx="79">
                  <c:v>2.68</c:v>
                </c:pt>
                <c:pt idx="80">
                  <c:v>2.7</c:v>
                </c:pt>
                <c:pt idx="81">
                  <c:v>2.72</c:v>
                </c:pt>
                <c:pt idx="82">
                  <c:v>2.74</c:v>
                </c:pt>
                <c:pt idx="83">
                  <c:v>2.76</c:v>
                </c:pt>
                <c:pt idx="84">
                  <c:v>2.78</c:v>
                </c:pt>
                <c:pt idx="85">
                  <c:v>2.8</c:v>
                </c:pt>
                <c:pt idx="86">
                  <c:v>2.82</c:v>
                </c:pt>
                <c:pt idx="87">
                  <c:v>2.84</c:v>
                </c:pt>
                <c:pt idx="88">
                  <c:v>2.86</c:v>
                </c:pt>
                <c:pt idx="89">
                  <c:v>2.88</c:v>
                </c:pt>
                <c:pt idx="90">
                  <c:v>2.9</c:v>
                </c:pt>
                <c:pt idx="91">
                  <c:v>2.92</c:v>
                </c:pt>
                <c:pt idx="92">
                  <c:v>2.94</c:v>
                </c:pt>
                <c:pt idx="93">
                  <c:v>2.96</c:v>
                </c:pt>
                <c:pt idx="94">
                  <c:v>2.98</c:v>
                </c:pt>
                <c:pt idx="95">
                  <c:v>3</c:v>
                </c:pt>
                <c:pt idx="96">
                  <c:v>3.02</c:v>
                </c:pt>
                <c:pt idx="97">
                  <c:v>3.04</c:v>
                </c:pt>
                <c:pt idx="98">
                  <c:v>3.06</c:v>
                </c:pt>
                <c:pt idx="99">
                  <c:v>3.08</c:v>
                </c:pt>
                <c:pt idx="100">
                  <c:v>3.1</c:v>
                </c:pt>
                <c:pt idx="101">
                  <c:v>3.12</c:v>
                </c:pt>
                <c:pt idx="102">
                  <c:v>3.14</c:v>
                </c:pt>
                <c:pt idx="103">
                  <c:v>3.16</c:v>
                </c:pt>
                <c:pt idx="104">
                  <c:v>3.18</c:v>
                </c:pt>
                <c:pt idx="105">
                  <c:v>3.2</c:v>
                </c:pt>
                <c:pt idx="106">
                  <c:v>3.22</c:v>
                </c:pt>
                <c:pt idx="107">
                  <c:v>3.24</c:v>
                </c:pt>
                <c:pt idx="108">
                  <c:v>3.26</c:v>
                </c:pt>
                <c:pt idx="109">
                  <c:v>3.28</c:v>
                </c:pt>
                <c:pt idx="110">
                  <c:v>3.3</c:v>
                </c:pt>
              </c:numCache>
            </c:numRef>
          </c:cat>
          <c:val>
            <c:numRef>
              <c:f>LLDCM!$T$3:$T$113</c:f>
              <c:numCache>
                <c:formatCode>General</c:formatCode>
                <c:ptCount val="11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numCache>
            </c:numRef>
          </c:val>
          <c:smooth val="0"/>
          <c:extLst>
            <c:ext xmlns:c16="http://schemas.microsoft.com/office/drawing/2014/chart" uri="{C3380CC4-5D6E-409C-BE32-E72D297353CC}">
              <c16:uniqueId val="{00000005-DD19-49E0-A2BF-A9033B5C80CC}"/>
            </c:ext>
          </c:extLst>
        </c:ser>
        <c:dLbls>
          <c:showLegendKey val="0"/>
          <c:showVal val="0"/>
          <c:showCatName val="0"/>
          <c:showSerName val="0"/>
          <c:showPercent val="0"/>
          <c:showBubbleSize val="0"/>
        </c:dLbls>
        <c:marker val="1"/>
        <c:smooth val="0"/>
        <c:axId val="1711383008"/>
        <c:axId val="1711379680"/>
      </c:lineChart>
      <c:catAx>
        <c:axId val="156080840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r>
                  <a:rPr lang="en-US" altLang="zh-CN" sz="1200"/>
                  <a:t>Vc/V</a:t>
                </a:r>
                <a:endParaRPr lang="zh-CN" altLang="en-US" sz="1200"/>
              </a:p>
            </c:rich>
          </c:tx>
          <c:layout>
            <c:manualLayout>
              <c:xMode val="edge"/>
              <c:yMode val="edge"/>
              <c:x val="0.43590554012381211"/>
              <c:y val="0.91404279799732857"/>
            </c:manualLayout>
          </c:layout>
          <c:overlay val="0"/>
          <c:spPr>
            <a:noFill/>
            <a:ln>
              <a:noFill/>
            </a:ln>
            <a:effectLst/>
          </c:spPr>
          <c:txPr>
            <a:bodyPr rot="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endParaRPr lang="zh-CN" alt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en-US"/>
          </a:p>
        </c:txPr>
        <c:crossAx val="1560804656"/>
        <c:crosses val="autoZero"/>
        <c:auto val="1"/>
        <c:lblAlgn val="ctr"/>
        <c:lblOffset val="100"/>
        <c:tickMarkSkip val="1"/>
        <c:noMultiLvlLbl val="0"/>
      </c:catAx>
      <c:valAx>
        <c:axId val="15608046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r>
                  <a:rPr lang="en-US" altLang="zh-CN" sz="1200"/>
                  <a:t>Fsw/kHz</a:t>
                </a:r>
                <a:endParaRPr lang="zh-CN" altLang="en-US" sz="1200"/>
              </a:p>
            </c:rich>
          </c:tx>
          <c:layout>
            <c:manualLayout>
              <c:xMode val="edge"/>
              <c:yMode val="edge"/>
              <c:x val="2.7202397962016692E-2"/>
              <c:y val="0.43540400179183192"/>
            </c:manualLayout>
          </c:layout>
          <c:overlay val="0"/>
          <c:spPr>
            <a:noFill/>
            <a:ln>
              <a:noFill/>
            </a:ln>
            <a:effectLst/>
          </c:spPr>
          <c:txPr>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endParaRPr lang="zh-CN" alt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en-US"/>
          </a:p>
        </c:txPr>
        <c:crossAx val="1560808400"/>
        <c:crosses val="autoZero"/>
        <c:crossBetween val="between"/>
      </c:valAx>
      <c:valAx>
        <c:axId val="1711379680"/>
        <c:scaling>
          <c:orientation val="minMax"/>
        </c:scaling>
        <c:delete val="0"/>
        <c:axPos val="r"/>
        <c:title>
          <c:tx>
            <c:rich>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r>
                  <a:rPr lang="en-US" altLang="zh-CN" sz="1200"/>
                  <a:t>Po/W</a:t>
                </a:r>
                <a:endParaRPr lang="zh-CN" altLang="en-US" sz="1200"/>
              </a:p>
            </c:rich>
          </c:tx>
          <c:layout>
            <c:manualLayout>
              <c:xMode val="edge"/>
              <c:yMode val="edge"/>
              <c:x val="0.73547401348926145"/>
              <c:y val="0.40221316716385325"/>
            </c:manualLayout>
          </c:layout>
          <c:overlay val="0"/>
          <c:spPr>
            <a:noFill/>
            <a:ln>
              <a:noFill/>
            </a:ln>
            <a:effectLst/>
          </c:spPr>
          <c:txPr>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endParaRPr lang="zh-CN" alt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en-US"/>
          </a:p>
        </c:txPr>
        <c:crossAx val="1711383008"/>
        <c:crosses val="max"/>
        <c:crossBetween val="between"/>
      </c:valAx>
      <c:catAx>
        <c:axId val="1711383008"/>
        <c:scaling>
          <c:orientation val="minMax"/>
        </c:scaling>
        <c:delete val="1"/>
        <c:axPos val="b"/>
        <c:numFmt formatCode="General" sourceLinked="1"/>
        <c:majorTickMark val="out"/>
        <c:minorTickMark val="none"/>
        <c:tickLblPos val="nextTo"/>
        <c:crossAx val="1711379680"/>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lang="ja-JP"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ja-JP" sz="1400" b="0" i="0" u="none" strike="noStrike" kern="1200" spc="0" baseline="0">
                <a:solidFill>
                  <a:schemeClr val="tx1">
                    <a:lumMod val="65000"/>
                    <a:lumOff val="35000"/>
                  </a:schemeClr>
                </a:solidFill>
                <a:latin typeface="+mn-lt"/>
                <a:ea typeface="+mn-ea"/>
                <a:cs typeface="+mn-cs"/>
              </a:defRPr>
            </a:pPr>
            <a:r>
              <a:rPr lang="en-US" altLang="zh-CN" sz="1400"/>
              <a:t>LL CCM</a:t>
            </a:r>
            <a:endParaRPr lang="zh-CN" altLang="en-US" sz="1400"/>
          </a:p>
        </c:rich>
      </c:tx>
      <c:overlay val="0"/>
      <c:spPr>
        <a:noFill/>
        <a:ln>
          <a:noFill/>
        </a:ln>
        <a:effectLst/>
      </c:spPr>
      <c:txPr>
        <a:bodyPr rot="0" spcFirstLastPara="1" vertOverflow="ellipsis" vert="horz" wrap="square" anchor="ctr" anchorCtr="1"/>
        <a:lstStyle/>
        <a:p>
          <a:pPr>
            <a:defRPr lang="ja-JP" sz="1400" b="0" i="0" u="none" strike="noStrike" kern="1200" spc="0" baseline="0">
              <a:solidFill>
                <a:schemeClr val="tx1">
                  <a:lumMod val="65000"/>
                  <a:lumOff val="35000"/>
                </a:schemeClr>
              </a:solidFill>
              <a:latin typeface="+mn-lt"/>
              <a:ea typeface="+mn-ea"/>
              <a:cs typeface="+mn-cs"/>
            </a:defRPr>
          </a:pPr>
          <a:endParaRPr lang="zh-CN" altLang="en-US"/>
        </a:p>
      </c:txPr>
    </c:title>
    <c:autoTitleDeleted val="0"/>
    <c:plotArea>
      <c:layout>
        <c:manualLayout>
          <c:layoutTarget val="inner"/>
          <c:xMode val="edge"/>
          <c:yMode val="edge"/>
          <c:x val="0.13727666845006187"/>
          <c:y val="0.11666095228781023"/>
          <c:w val="0.65605020854114082"/>
          <c:h val="0.71600366210185318"/>
        </c:manualLayout>
      </c:layout>
      <c:lineChart>
        <c:grouping val="standard"/>
        <c:varyColors val="0"/>
        <c:ser>
          <c:idx val="0"/>
          <c:order val="0"/>
          <c:tx>
            <c:v>Vo F9 Fsw</c:v>
          </c:tx>
          <c:spPr>
            <a:ln w="19050" cap="rnd">
              <a:solidFill>
                <a:schemeClr val="accent1"/>
              </a:solidFill>
              <a:round/>
            </a:ln>
            <a:effectLst/>
          </c:spPr>
          <c:marker>
            <c:symbol val="none"/>
          </c:marker>
          <c:cat>
            <c:numRef>
              <c:f>LLCCM!$A$3:$A$113</c:f>
              <c:numCache>
                <c:formatCode>General</c:formatCode>
                <c:ptCount val="111"/>
                <c:pt idx="0">
                  <c:v>1.1000000000000001</c:v>
                </c:pt>
                <c:pt idx="1">
                  <c:v>1.1200000000000001</c:v>
                </c:pt>
                <c:pt idx="2">
                  <c:v>1.1399999999999999</c:v>
                </c:pt>
                <c:pt idx="3">
                  <c:v>1.1599999999999999</c:v>
                </c:pt>
                <c:pt idx="4">
                  <c:v>1.18</c:v>
                </c:pt>
                <c:pt idx="5">
                  <c:v>1.2</c:v>
                </c:pt>
                <c:pt idx="6">
                  <c:v>1.22</c:v>
                </c:pt>
                <c:pt idx="7">
                  <c:v>1.24</c:v>
                </c:pt>
                <c:pt idx="8">
                  <c:v>1.26</c:v>
                </c:pt>
                <c:pt idx="9">
                  <c:v>1.28</c:v>
                </c:pt>
                <c:pt idx="10">
                  <c:v>1.3</c:v>
                </c:pt>
                <c:pt idx="11">
                  <c:v>1.32</c:v>
                </c:pt>
                <c:pt idx="12">
                  <c:v>1.34</c:v>
                </c:pt>
                <c:pt idx="13">
                  <c:v>1.36</c:v>
                </c:pt>
                <c:pt idx="14">
                  <c:v>1.38</c:v>
                </c:pt>
                <c:pt idx="15">
                  <c:v>1.4</c:v>
                </c:pt>
                <c:pt idx="16">
                  <c:v>1.42</c:v>
                </c:pt>
                <c:pt idx="17">
                  <c:v>1.44</c:v>
                </c:pt>
                <c:pt idx="18">
                  <c:v>1.46</c:v>
                </c:pt>
                <c:pt idx="19">
                  <c:v>1.48</c:v>
                </c:pt>
                <c:pt idx="20">
                  <c:v>1.5</c:v>
                </c:pt>
                <c:pt idx="21">
                  <c:v>1.52</c:v>
                </c:pt>
                <c:pt idx="22">
                  <c:v>1.54</c:v>
                </c:pt>
                <c:pt idx="23">
                  <c:v>1.56</c:v>
                </c:pt>
                <c:pt idx="24">
                  <c:v>1.58</c:v>
                </c:pt>
                <c:pt idx="25">
                  <c:v>1.6</c:v>
                </c:pt>
                <c:pt idx="26">
                  <c:v>1.62</c:v>
                </c:pt>
                <c:pt idx="27">
                  <c:v>1.64</c:v>
                </c:pt>
                <c:pt idx="28">
                  <c:v>1.66</c:v>
                </c:pt>
                <c:pt idx="29">
                  <c:v>1.68</c:v>
                </c:pt>
                <c:pt idx="30">
                  <c:v>1.7</c:v>
                </c:pt>
                <c:pt idx="31">
                  <c:v>1.72</c:v>
                </c:pt>
                <c:pt idx="32">
                  <c:v>1.74</c:v>
                </c:pt>
                <c:pt idx="33">
                  <c:v>1.76</c:v>
                </c:pt>
                <c:pt idx="34">
                  <c:v>1.78</c:v>
                </c:pt>
                <c:pt idx="35">
                  <c:v>1.8</c:v>
                </c:pt>
                <c:pt idx="36">
                  <c:v>1.82</c:v>
                </c:pt>
                <c:pt idx="37">
                  <c:v>1.84</c:v>
                </c:pt>
                <c:pt idx="38">
                  <c:v>1.86</c:v>
                </c:pt>
                <c:pt idx="39">
                  <c:v>1.88</c:v>
                </c:pt>
                <c:pt idx="40">
                  <c:v>1.9</c:v>
                </c:pt>
                <c:pt idx="41">
                  <c:v>1.92</c:v>
                </c:pt>
                <c:pt idx="42">
                  <c:v>1.94</c:v>
                </c:pt>
                <c:pt idx="43">
                  <c:v>1.96</c:v>
                </c:pt>
                <c:pt idx="44">
                  <c:v>1.98</c:v>
                </c:pt>
                <c:pt idx="45">
                  <c:v>2</c:v>
                </c:pt>
                <c:pt idx="46">
                  <c:v>2.02</c:v>
                </c:pt>
                <c:pt idx="47">
                  <c:v>2.04</c:v>
                </c:pt>
                <c:pt idx="48">
                  <c:v>2.06</c:v>
                </c:pt>
                <c:pt idx="49">
                  <c:v>2.08</c:v>
                </c:pt>
                <c:pt idx="50">
                  <c:v>2.1</c:v>
                </c:pt>
                <c:pt idx="51">
                  <c:v>2.12</c:v>
                </c:pt>
                <c:pt idx="52">
                  <c:v>2.14</c:v>
                </c:pt>
                <c:pt idx="53">
                  <c:v>2.16</c:v>
                </c:pt>
                <c:pt idx="54">
                  <c:v>2.1800000000000002</c:v>
                </c:pt>
                <c:pt idx="55">
                  <c:v>2.2000000000000002</c:v>
                </c:pt>
                <c:pt idx="56">
                  <c:v>2.2200000000000002</c:v>
                </c:pt>
                <c:pt idx="57">
                  <c:v>2.2400000000000002</c:v>
                </c:pt>
                <c:pt idx="58">
                  <c:v>2.2599999999999998</c:v>
                </c:pt>
                <c:pt idx="59">
                  <c:v>2.2799999999999998</c:v>
                </c:pt>
                <c:pt idx="60">
                  <c:v>2.2999999999999998</c:v>
                </c:pt>
                <c:pt idx="61">
                  <c:v>2.3199999999999998</c:v>
                </c:pt>
                <c:pt idx="62">
                  <c:v>2.34</c:v>
                </c:pt>
                <c:pt idx="63">
                  <c:v>2.36</c:v>
                </c:pt>
                <c:pt idx="64">
                  <c:v>2.38</c:v>
                </c:pt>
                <c:pt idx="65">
                  <c:v>2.4</c:v>
                </c:pt>
                <c:pt idx="66">
                  <c:v>2.42</c:v>
                </c:pt>
                <c:pt idx="67">
                  <c:v>2.44</c:v>
                </c:pt>
                <c:pt idx="68">
                  <c:v>2.46</c:v>
                </c:pt>
                <c:pt idx="69">
                  <c:v>2.48</c:v>
                </c:pt>
                <c:pt idx="70">
                  <c:v>2.5</c:v>
                </c:pt>
                <c:pt idx="71">
                  <c:v>2.52</c:v>
                </c:pt>
                <c:pt idx="72">
                  <c:v>2.54</c:v>
                </c:pt>
                <c:pt idx="73">
                  <c:v>2.56</c:v>
                </c:pt>
                <c:pt idx="74">
                  <c:v>2.58</c:v>
                </c:pt>
                <c:pt idx="75">
                  <c:v>2.6</c:v>
                </c:pt>
                <c:pt idx="76">
                  <c:v>2.62</c:v>
                </c:pt>
                <c:pt idx="77">
                  <c:v>2.64</c:v>
                </c:pt>
                <c:pt idx="78">
                  <c:v>2.66</c:v>
                </c:pt>
                <c:pt idx="79">
                  <c:v>2.68</c:v>
                </c:pt>
                <c:pt idx="80">
                  <c:v>2.7</c:v>
                </c:pt>
                <c:pt idx="81">
                  <c:v>2.72</c:v>
                </c:pt>
                <c:pt idx="82">
                  <c:v>2.74</c:v>
                </c:pt>
                <c:pt idx="83">
                  <c:v>2.76</c:v>
                </c:pt>
                <c:pt idx="84">
                  <c:v>2.78</c:v>
                </c:pt>
                <c:pt idx="85">
                  <c:v>2.8</c:v>
                </c:pt>
                <c:pt idx="86">
                  <c:v>2.82</c:v>
                </c:pt>
                <c:pt idx="87">
                  <c:v>2.84</c:v>
                </c:pt>
                <c:pt idx="88">
                  <c:v>2.86</c:v>
                </c:pt>
                <c:pt idx="89">
                  <c:v>2.88</c:v>
                </c:pt>
                <c:pt idx="90">
                  <c:v>2.9</c:v>
                </c:pt>
                <c:pt idx="91">
                  <c:v>2.92</c:v>
                </c:pt>
                <c:pt idx="92">
                  <c:v>2.94</c:v>
                </c:pt>
                <c:pt idx="93">
                  <c:v>2.96</c:v>
                </c:pt>
                <c:pt idx="94">
                  <c:v>2.98</c:v>
                </c:pt>
                <c:pt idx="95">
                  <c:v>3</c:v>
                </c:pt>
                <c:pt idx="96">
                  <c:v>3.02</c:v>
                </c:pt>
                <c:pt idx="97">
                  <c:v>3.04</c:v>
                </c:pt>
                <c:pt idx="98">
                  <c:v>3.06</c:v>
                </c:pt>
                <c:pt idx="99">
                  <c:v>3.08</c:v>
                </c:pt>
                <c:pt idx="100">
                  <c:v>3.1</c:v>
                </c:pt>
                <c:pt idx="101">
                  <c:v>3.12</c:v>
                </c:pt>
                <c:pt idx="102">
                  <c:v>3.14</c:v>
                </c:pt>
                <c:pt idx="103">
                  <c:v>3.16</c:v>
                </c:pt>
                <c:pt idx="104">
                  <c:v>3.18</c:v>
                </c:pt>
                <c:pt idx="105">
                  <c:v>3.2</c:v>
                </c:pt>
                <c:pt idx="106">
                  <c:v>3.22</c:v>
                </c:pt>
                <c:pt idx="107">
                  <c:v>3.24</c:v>
                </c:pt>
                <c:pt idx="108">
                  <c:v>3.26</c:v>
                </c:pt>
                <c:pt idx="109">
                  <c:v>3.28</c:v>
                </c:pt>
                <c:pt idx="110">
                  <c:v>3.3</c:v>
                </c:pt>
              </c:numCache>
            </c:numRef>
          </c:cat>
          <c:val>
            <c:numRef>
              <c:f>LLCCM!$B$3:$B$113</c:f>
              <c:numCache>
                <c:formatCode>General</c:formatCode>
                <c:ptCount val="11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26.729411764705883</c:v>
                </c:pt>
                <c:pt idx="27">
                  <c:v>28.458823529411767</c:v>
                </c:pt>
                <c:pt idx="28">
                  <c:v>30.18823529411765</c:v>
                </c:pt>
                <c:pt idx="29">
                  <c:v>31.917647058823533</c:v>
                </c:pt>
                <c:pt idx="30">
                  <c:v>33.647058823529413</c:v>
                </c:pt>
                <c:pt idx="31">
                  <c:v>35.376470588235293</c:v>
                </c:pt>
                <c:pt idx="32">
                  <c:v>37.105882352941173</c:v>
                </c:pt>
                <c:pt idx="33">
                  <c:v>38.835294117647052</c:v>
                </c:pt>
                <c:pt idx="34">
                  <c:v>40.564705882352932</c:v>
                </c:pt>
                <c:pt idx="35">
                  <c:v>42.294117647058812</c:v>
                </c:pt>
                <c:pt idx="36">
                  <c:v>44.023529411764692</c:v>
                </c:pt>
                <c:pt idx="37">
                  <c:v>45.752941176470571</c:v>
                </c:pt>
                <c:pt idx="38">
                  <c:v>47.482352941176451</c:v>
                </c:pt>
                <c:pt idx="39">
                  <c:v>49.211764705882331</c:v>
                </c:pt>
                <c:pt idx="40">
                  <c:v>50.941176470588211</c:v>
                </c:pt>
                <c:pt idx="41">
                  <c:v>52.67058823529409</c:v>
                </c:pt>
                <c:pt idx="42">
                  <c:v>54.39999999999997</c:v>
                </c:pt>
                <c:pt idx="43">
                  <c:v>56.12941176470585</c:v>
                </c:pt>
                <c:pt idx="44">
                  <c:v>57.85882352941173</c:v>
                </c:pt>
                <c:pt idx="45">
                  <c:v>59.588235294117609</c:v>
                </c:pt>
                <c:pt idx="46">
                  <c:v>61.317647058823489</c:v>
                </c:pt>
                <c:pt idx="47">
                  <c:v>63.047058823529369</c:v>
                </c:pt>
                <c:pt idx="48">
                  <c:v>64.776470588235256</c:v>
                </c:pt>
                <c:pt idx="49">
                  <c:v>66.505882352941143</c:v>
                </c:pt>
                <c:pt idx="50">
                  <c:v>68.235294117647058</c:v>
                </c:pt>
                <c:pt idx="51">
                  <c:v>68.235294117647058</c:v>
                </c:pt>
                <c:pt idx="52">
                  <c:v>68.235294117647058</c:v>
                </c:pt>
                <c:pt idx="53">
                  <c:v>68.235294117647058</c:v>
                </c:pt>
                <c:pt idx="54">
                  <c:v>68.235294117647058</c:v>
                </c:pt>
                <c:pt idx="55">
                  <c:v>68.235294117647058</c:v>
                </c:pt>
                <c:pt idx="56">
                  <c:v>68.235294117647058</c:v>
                </c:pt>
                <c:pt idx="57">
                  <c:v>68.235294117647058</c:v>
                </c:pt>
                <c:pt idx="58">
                  <c:v>68.235294117647058</c:v>
                </c:pt>
                <c:pt idx="59">
                  <c:v>68.235294117647058</c:v>
                </c:pt>
                <c:pt idx="60">
                  <c:v>68.235294117647058</c:v>
                </c:pt>
                <c:pt idx="61">
                  <c:v>68.235294117647058</c:v>
                </c:pt>
                <c:pt idx="62">
                  <c:v>68.235294117647058</c:v>
                </c:pt>
                <c:pt idx="63">
                  <c:v>68.235294117647058</c:v>
                </c:pt>
                <c:pt idx="64">
                  <c:v>68.235294117647058</c:v>
                </c:pt>
                <c:pt idx="65">
                  <c:v>68.235294117647058</c:v>
                </c:pt>
                <c:pt idx="66">
                  <c:v>68.235294117647058</c:v>
                </c:pt>
                <c:pt idx="67">
                  <c:v>68.235294117647058</c:v>
                </c:pt>
                <c:pt idx="68">
                  <c:v>68.235294117647058</c:v>
                </c:pt>
                <c:pt idx="69">
                  <c:v>68.235294117647058</c:v>
                </c:pt>
                <c:pt idx="70">
                  <c:v>68.235294117647058</c:v>
                </c:pt>
                <c:pt idx="71">
                  <c:v>68.235294117647058</c:v>
                </c:pt>
                <c:pt idx="72">
                  <c:v>68.235294117647058</c:v>
                </c:pt>
                <c:pt idx="73">
                  <c:v>68.235294117647058</c:v>
                </c:pt>
                <c:pt idx="74">
                  <c:v>68.235294117647058</c:v>
                </c:pt>
                <c:pt idx="75">
                  <c:v>68.235294117647058</c:v>
                </c:pt>
                <c:pt idx="76">
                  <c:v>68.235294117647058</c:v>
                </c:pt>
                <c:pt idx="77">
                  <c:v>68.235294117647058</c:v>
                </c:pt>
                <c:pt idx="78">
                  <c:v>68.235294117647058</c:v>
                </c:pt>
                <c:pt idx="79">
                  <c:v>68.235294117647058</c:v>
                </c:pt>
                <c:pt idx="80">
                  <c:v>68.235294117647058</c:v>
                </c:pt>
                <c:pt idx="81">
                  <c:v>68.235294117647058</c:v>
                </c:pt>
                <c:pt idx="82">
                  <c:v>68.235294117647058</c:v>
                </c:pt>
                <c:pt idx="83">
                  <c:v>68.235294117647058</c:v>
                </c:pt>
                <c:pt idx="84">
                  <c:v>68.235294117647058</c:v>
                </c:pt>
                <c:pt idx="85">
                  <c:v>68.235294117647058</c:v>
                </c:pt>
                <c:pt idx="86">
                  <c:v>68.235294117647058</c:v>
                </c:pt>
                <c:pt idx="87">
                  <c:v>68.235294117647058</c:v>
                </c:pt>
                <c:pt idx="88">
                  <c:v>68.235294117647058</c:v>
                </c:pt>
                <c:pt idx="89">
                  <c:v>68.235294117647058</c:v>
                </c:pt>
                <c:pt idx="90">
                  <c:v>68.235294117647058</c:v>
                </c:pt>
                <c:pt idx="91">
                  <c:v>68.235294117647058</c:v>
                </c:pt>
                <c:pt idx="92">
                  <c:v>68.235294117647058</c:v>
                </c:pt>
                <c:pt idx="93">
                  <c:v>68.235294117647058</c:v>
                </c:pt>
                <c:pt idx="94">
                  <c:v>68.235294117647058</c:v>
                </c:pt>
                <c:pt idx="95">
                  <c:v>68.235294117647058</c:v>
                </c:pt>
                <c:pt idx="96">
                  <c:v>68.235294117647058</c:v>
                </c:pt>
                <c:pt idx="97">
                  <c:v>68.235294117647058</c:v>
                </c:pt>
                <c:pt idx="98">
                  <c:v>68.235294117647058</c:v>
                </c:pt>
                <c:pt idx="99">
                  <c:v>68.235294117647058</c:v>
                </c:pt>
                <c:pt idx="100">
                  <c:v>68.235294117647058</c:v>
                </c:pt>
                <c:pt idx="101">
                  <c:v>68.235294117647058</c:v>
                </c:pt>
                <c:pt idx="102">
                  <c:v>68.235294117647058</c:v>
                </c:pt>
                <c:pt idx="103">
                  <c:v>68.235294117647058</c:v>
                </c:pt>
                <c:pt idx="104">
                  <c:v>68.235294117647058</c:v>
                </c:pt>
                <c:pt idx="105">
                  <c:v>68.235294117647058</c:v>
                </c:pt>
                <c:pt idx="106">
                  <c:v>68.235294117647058</c:v>
                </c:pt>
                <c:pt idx="107">
                  <c:v>68.235294117647058</c:v>
                </c:pt>
                <c:pt idx="108">
                  <c:v>68.235294117647058</c:v>
                </c:pt>
                <c:pt idx="109">
                  <c:v>68.235294117647058</c:v>
                </c:pt>
                <c:pt idx="110">
                  <c:v>68.235294117647058</c:v>
                </c:pt>
              </c:numCache>
            </c:numRef>
          </c:val>
          <c:smooth val="0"/>
          <c:extLst>
            <c:ext xmlns:c16="http://schemas.microsoft.com/office/drawing/2014/chart" uri="{C3380CC4-5D6E-409C-BE32-E72D297353CC}">
              <c16:uniqueId val="{00000000-32B6-41DB-9548-078DF67AE686}"/>
            </c:ext>
          </c:extLst>
        </c:ser>
        <c:ser>
          <c:idx val="2"/>
          <c:order val="2"/>
          <c:tx>
            <c:v>Vo J9 Fsw</c:v>
          </c:tx>
          <c:spPr>
            <a:ln w="19050" cap="rnd">
              <a:solidFill>
                <a:schemeClr val="accent3"/>
              </a:solidFill>
              <a:round/>
            </a:ln>
            <a:effectLst/>
          </c:spPr>
          <c:marker>
            <c:symbol val="none"/>
          </c:marker>
          <c:cat>
            <c:numRef>
              <c:f>LLCCM!$A$3:$A$113</c:f>
              <c:numCache>
                <c:formatCode>General</c:formatCode>
                <c:ptCount val="111"/>
                <c:pt idx="0">
                  <c:v>1.1000000000000001</c:v>
                </c:pt>
                <c:pt idx="1">
                  <c:v>1.1200000000000001</c:v>
                </c:pt>
                <c:pt idx="2">
                  <c:v>1.1399999999999999</c:v>
                </c:pt>
                <c:pt idx="3">
                  <c:v>1.1599999999999999</c:v>
                </c:pt>
                <c:pt idx="4">
                  <c:v>1.18</c:v>
                </c:pt>
                <c:pt idx="5">
                  <c:v>1.2</c:v>
                </c:pt>
                <c:pt idx="6">
                  <c:v>1.22</c:v>
                </c:pt>
                <c:pt idx="7">
                  <c:v>1.24</c:v>
                </c:pt>
                <c:pt idx="8">
                  <c:v>1.26</c:v>
                </c:pt>
                <c:pt idx="9">
                  <c:v>1.28</c:v>
                </c:pt>
                <c:pt idx="10">
                  <c:v>1.3</c:v>
                </c:pt>
                <c:pt idx="11">
                  <c:v>1.32</c:v>
                </c:pt>
                <c:pt idx="12">
                  <c:v>1.34</c:v>
                </c:pt>
                <c:pt idx="13">
                  <c:v>1.36</c:v>
                </c:pt>
                <c:pt idx="14">
                  <c:v>1.38</c:v>
                </c:pt>
                <c:pt idx="15">
                  <c:v>1.4</c:v>
                </c:pt>
                <c:pt idx="16">
                  <c:v>1.42</c:v>
                </c:pt>
                <c:pt idx="17">
                  <c:v>1.44</c:v>
                </c:pt>
                <c:pt idx="18">
                  <c:v>1.46</c:v>
                </c:pt>
                <c:pt idx="19">
                  <c:v>1.48</c:v>
                </c:pt>
                <c:pt idx="20">
                  <c:v>1.5</c:v>
                </c:pt>
                <c:pt idx="21">
                  <c:v>1.52</c:v>
                </c:pt>
                <c:pt idx="22">
                  <c:v>1.54</c:v>
                </c:pt>
                <c:pt idx="23">
                  <c:v>1.56</c:v>
                </c:pt>
                <c:pt idx="24">
                  <c:v>1.58</c:v>
                </c:pt>
                <c:pt idx="25">
                  <c:v>1.6</c:v>
                </c:pt>
                <c:pt idx="26">
                  <c:v>1.62</c:v>
                </c:pt>
                <c:pt idx="27">
                  <c:v>1.64</c:v>
                </c:pt>
                <c:pt idx="28">
                  <c:v>1.66</c:v>
                </c:pt>
                <c:pt idx="29">
                  <c:v>1.68</c:v>
                </c:pt>
                <c:pt idx="30">
                  <c:v>1.7</c:v>
                </c:pt>
                <c:pt idx="31">
                  <c:v>1.72</c:v>
                </c:pt>
                <c:pt idx="32">
                  <c:v>1.74</c:v>
                </c:pt>
                <c:pt idx="33">
                  <c:v>1.76</c:v>
                </c:pt>
                <c:pt idx="34">
                  <c:v>1.78</c:v>
                </c:pt>
                <c:pt idx="35">
                  <c:v>1.8</c:v>
                </c:pt>
                <c:pt idx="36">
                  <c:v>1.82</c:v>
                </c:pt>
                <c:pt idx="37">
                  <c:v>1.84</c:v>
                </c:pt>
                <c:pt idx="38">
                  <c:v>1.86</c:v>
                </c:pt>
                <c:pt idx="39">
                  <c:v>1.88</c:v>
                </c:pt>
                <c:pt idx="40">
                  <c:v>1.9</c:v>
                </c:pt>
                <c:pt idx="41">
                  <c:v>1.92</c:v>
                </c:pt>
                <c:pt idx="42">
                  <c:v>1.94</c:v>
                </c:pt>
                <c:pt idx="43">
                  <c:v>1.96</c:v>
                </c:pt>
                <c:pt idx="44">
                  <c:v>1.98</c:v>
                </c:pt>
                <c:pt idx="45">
                  <c:v>2</c:v>
                </c:pt>
                <c:pt idx="46">
                  <c:v>2.02</c:v>
                </c:pt>
                <c:pt idx="47">
                  <c:v>2.04</c:v>
                </c:pt>
                <c:pt idx="48">
                  <c:v>2.06</c:v>
                </c:pt>
                <c:pt idx="49">
                  <c:v>2.08</c:v>
                </c:pt>
                <c:pt idx="50">
                  <c:v>2.1</c:v>
                </c:pt>
                <c:pt idx="51">
                  <c:v>2.12</c:v>
                </c:pt>
                <c:pt idx="52">
                  <c:v>2.14</c:v>
                </c:pt>
                <c:pt idx="53">
                  <c:v>2.16</c:v>
                </c:pt>
                <c:pt idx="54">
                  <c:v>2.1800000000000002</c:v>
                </c:pt>
                <c:pt idx="55">
                  <c:v>2.2000000000000002</c:v>
                </c:pt>
                <c:pt idx="56">
                  <c:v>2.2200000000000002</c:v>
                </c:pt>
                <c:pt idx="57">
                  <c:v>2.2400000000000002</c:v>
                </c:pt>
                <c:pt idx="58">
                  <c:v>2.2599999999999998</c:v>
                </c:pt>
                <c:pt idx="59">
                  <c:v>2.2799999999999998</c:v>
                </c:pt>
                <c:pt idx="60">
                  <c:v>2.2999999999999998</c:v>
                </c:pt>
                <c:pt idx="61">
                  <c:v>2.3199999999999998</c:v>
                </c:pt>
                <c:pt idx="62">
                  <c:v>2.34</c:v>
                </c:pt>
                <c:pt idx="63">
                  <c:v>2.36</c:v>
                </c:pt>
                <c:pt idx="64">
                  <c:v>2.38</c:v>
                </c:pt>
                <c:pt idx="65">
                  <c:v>2.4</c:v>
                </c:pt>
                <c:pt idx="66">
                  <c:v>2.42</c:v>
                </c:pt>
                <c:pt idx="67">
                  <c:v>2.44</c:v>
                </c:pt>
                <c:pt idx="68">
                  <c:v>2.46</c:v>
                </c:pt>
                <c:pt idx="69">
                  <c:v>2.48</c:v>
                </c:pt>
                <c:pt idx="70">
                  <c:v>2.5</c:v>
                </c:pt>
                <c:pt idx="71">
                  <c:v>2.52</c:v>
                </c:pt>
                <c:pt idx="72">
                  <c:v>2.54</c:v>
                </c:pt>
                <c:pt idx="73">
                  <c:v>2.56</c:v>
                </c:pt>
                <c:pt idx="74">
                  <c:v>2.58</c:v>
                </c:pt>
                <c:pt idx="75">
                  <c:v>2.6</c:v>
                </c:pt>
                <c:pt idx="76">
                  <c:v>2.62</c:v>
                </c:pt>
                <c:pt idx="77">
                  <c:v>2.64</c:v>
                </c:pt>
                <c:pt idx="78">
                  <c:v>2.66</c:v>
                </c:pt>
                <c:pt idx="79">
                  <c:v>2.68</c:v>
                </c:pt>
                <c:pt idx="80">
                  <c:v>2.7</c:v>
                </c:pt>
                <c:pt idx="81">
                  <c:v>2.72</c:v>
                </c:pt>
                <c:pt idx="82">
                  <c:v>2.74</c:v>
                </c:pt>
                <c:pt idx="83">
                  <c:v>2.76</c:v>
                </c:pt>
                <c:pt idx="84">
                  <c:v>2.78</c:v>
                </c:pt>
                <c:pt idx="85">
                  <c:v>2.8</c:v>
                </c:pt>
                <c:pt idx="86">
                  <c:v>2.82</c:v>
                </c:pt>
                <c:pt idx="87">
                  <c:v>2.84</c:v>
                </c:pt>
                <c:pt idx="88">
                  <c:v>2.86</c:v>
                </c:pt>
                <c:pt idx="89">
                  <c:v>2.88</c:v>
                </c:pt>
                <c:pt idx="90">
                  <c:v>2.9</c:v>
                </c:pt>
                <c:pt idx="91">
                  <c:v>2.92</c:v>
                </c:pt>
                <c:pt idx="92">
                  <c:v>2.94</c:v>
                </c:pt>
                <c:pt idx="93">
                  <c:v>2.96</c:v>
                </c:pt>
                <c:pt idx="94">
                  <c:v>2.98</c:v>
                </c:pt>
                <c:pt idx="95">
                  <c:v>3</c:v>
                </c:pt>
                <c:pt idx="96">
                  <c:v>3.02</c:v>
                </c:pt>
                <c:pt idx="97">
                  <c:v>3.04</c:v>
                </c:pt>
                <c:pt idx="98">
                  <c:v>3.06</c:v>
                </c:pt>
                <c:pt idx="99">
                  <c:v>3.08</c:v>
                </c:pt>
                <c:pt idx="100">
                  <c:v>3.1</c:v>
                </c:pt>
                <c:pt idx="101">
                  <c:v>3.12</c:v>
                </c:pt>
                <c:pt idx="102">
                  <c:v>3.14</c:v>
                </c:pt>
                <c:pt idx="103">
                  <c:v>3.16</c:v>
                </c:pt>
                <c:pt idx="104">
                  <c:v>3.18</c:v>
                </c:pt>
                <c:pt idx="105">
                  <c:v>3.2</c:v>
                </c:pt>
                <c:pt idx="106">
                  <c:v>3.22</c:v>
                </c:pt>
                <c:pt idx="107">
                  <c:v>3.24</c:v>
                </c:pt>
                <c:pt idx="108">
                  <c:v>3.26</c:v>
                </c:pt>
                <c:pt idx="109">
                  <c:v>3.28</c:v>
                </c:pt>
                <c:pt idx="110">
                  <c:v>3.3</c:v>
                </c:pt>
              </c:numCache>
            </c:numRef>
          </c:cat>
          <c:val>
            <c:numRef>
              <c:f>LLCCM!$M$3:$M$113</c:f>
              <c:numCache>
                <c:formatCode>General</c:formatCode>
                <c:ptCount val="11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numCache>
            </c:numRef>
          </c:val>
          <c:smooth val="0"/>
          <c:extLst>
            <c:ext xmlns:c16="http://schemas.microsoft.com/office/drawing/2014/chart" uri="{C3380CC4-5D6E-409C-BE32-E72D297353CC}">
              <c16:uniqueId val="{00000001-32B6-41DB-9548-078DF67AE686}"/>
            </c:ext>
          </c:extLst>
        </c:ser>
        <c:dLbls>
          <c:showLegendKey val="0"/>
          <c:showVal val="0"/>
          <c:showCatName val="0"/>
          <c:showSerName val="0"/>
          <c:showPercent val="0"/>
          <c:showBubbleSize val="0"/>
        </c:dLbls>
        <c:marker val="1"/>
        <c:smooth val="0"/>
        <c:axId val="1560808400"/>
        <c:axId val="1560804656"/>
      </c:lineChart>
      <c:lineChart>
        <c:grouping val="standard"/>
        <c:varyColors val="0"/>
        <c:ser>
          <c:idx val="1"/>
          <c:order val="1"/>
          <c:tx>
            <c:v>Vo F9 Po</c:v>
          </c:tx>
          <c:spPr>
            <a:ln w="19050" cap="rnd">
              <a:solidFill>
                <a:schemeClr val="accent2"/>
              </a:solidFill>
              <a:round/>
            </a:ln>
            <a:effectLst/>
          </c:spPr>
          <c:marker>
            <c:symbol val="none"/>
          </c:marker>
          <c:cat>
            <c:numRef>
              <c:f>LLCCM!$A$3:$A$113</c:f>
              <c:numCache>
                <c:formatCode>General</c:formatCode>
                <c:ptCount val="111"/>
                <c:pt idx="0">
                  <c:v>1.1000000000000001</c:v>
                </c:pt>
                <c:pt idx="1">
                  <c:v>1.1200000000000001</c:v>
                </c:pt>
                <c:pt idx="2">
                  <c:v>1.1399999999999999</c:v>
                </c:pt>
                <c:pt idx="3">
                  <c:v>1.1599999999999999</c:v>
                </c:pt>
                <c:pt idx="4">
                  <c:v>1.18</c:v>
                </c:pt>
                <c:pt idx="5">
                  <c:v>1.2</c:v>
                </c:pt>
                <c:pt idx="6">
                  <c:v>1.22</c:v>
                </c:pt>
                <c:pt idx="7">
                  <c:v>1.24</c:v>
                </c:pt>
                <c:pt idx="8">
                  <c:v>1.26</c:v>
                </c:pt>
                <c:pt idx="9">
                  <c:v>1.28</c:v>
                </c:pt>
                <c:pt idx="10">
                  <c:v>1.3</c:v>
                </c:pt>
                <c:pt idx="11">
                  <c:v>1.32</c:v>
                </c:pt>
                <c:pt idx="12">
                  <c:v>1.34</c:v>
                </c:pt>
                <c:pt idx="13">
                  <c:v>1.36</c:v>
                </c:pt>
                <c:pt idx="14">
                  <c:v>1.38</c:v>
                </c:pt>
                <c:pt idx="15">
                  <c:v>1.4</c:v>
                </c:pt>
                <c:pt idx="16">
                  <c:v>1.42</c:v>
                </c:pt>
                <c:pt idx="17">
                  <c:v>1.44</c:v>
                </c:pt>
                <c:pt idx="18">
                  <c:v>1.46</c:v>
                </c:pt>
                <c:pt idx="19">
                  <c:v>1.48</c:v>
                </c:pt>
                <c:pt idx="20">
                  <c:v>1.5</c:v>
                </c:pt>
                <c:pt idx="21">
                  <c:v>1.52</c:v>
                </c:pt>
                <c:pt idx="22">
                  <c:v>1.54</c:v>
                </c:pt>
                <c:pt idx="23">
                  <c:v>1.56</c:v>
                </c:pt>
                <c:pt idx="24">
                  <c:v>1.58</c:v>
                </c:pt>
                <c:pt idx="25">
                  <c:v>1.6</c:v>
                </c:pt>
                <c:pt idx="26">
                  <c:v>1.62</c:v>
                </c:pt>
                <c:pt idx="27">
                  <c:v>1.64</c:v>
                </c:pt>
                <c:pt idx="28">
                  <c:v>1.66</c:v>
                </c:pt>
                <c:pt idx="29">
                  <c:v>1.68</c:v>
                </c:pt>
                <c:pt idx="30">
                  <c:v>1.7</c:v>
                </c:pt>
                <c:pt idx="31">
                  <c:v>1.72</c:v>
                </c:pt>
                <c:pt idx="32">
                  <c:v>1.74</c:v>
                </c:pt>
                <c:pt idx="33">
                  <c:v>1.76</c:v>
                </c:pt>
                <c:pt idx="34">
                  <c:v>1.78</c:v>
                </c:pt>
                <c:pt idx="35">
                  <c:v>1.8</c:v>
                </c:pt>
                <c:pt idx="36">
                  <c:v>1.82</c:v>
                </c:pt>
                <c:pt idx="37">
                  <c:v>1.84</c:v>
                </c:pt>
                <c:pt idx="38">
                  <c:v>1.86</c:v>
                </c:pt>
                <c:pt idx="39">
                  <c:v>1.88</c:v>
                </c:pt>
                <c:pt idx="40">
                  <c:v>1.9</c:v>
                </c:pt>
                <c:pt idx="41">
                  <c:v>1.92</c:v>
                </c:pt>
                <c:pt idx="42">
                  <c:v>1.94</c:v>
                </c:pt>
                <c:pt idx="43">
                  <c:v>1.96</c:v>
                </c:pt>
                <c:pt idx="44">
                  <c:v>1.98</c:v>
                </c:pt>
                <c:pt idx="45">
                  <c:v>2</c:v>
                </c:pt>
                <c:pt idx="46">
                  <c:v>2.02</c:v>
                </c:pt>
                <c:pt idx="47">
                  <c:v>2.04</c:v>
                </c:pt>
                <c:pt idx="48">
                  <c:v>2.06</c:v>
                </c:pt>
                <c:pt idx="49">
                  <c:v>2.08</c:v>
                </c:pt>
                <c:pt idx="50">
                  <c:v>2.1</c:v>
                </c:pt>
                <c:pt idx="51">
                  <c:v>2.12</c:v>
                </c:pt>
                <c:pt idx="52">
                  <c:v>2.14</c:v>
                </c:pt>
                <c:pt idx="53">
                  <c:v>2.16</c:v>
                </c:pt>
                <c:pt idx="54">
                  <c:v>2.1800000000000002</c:v>
                </c:pt>
                <c:pt idx="55">
                  <c:v>2.2000000000000002</c:v>
                </c:pt>
                <c:pt idx="56">
                  <c:v>2.2200000000000002</c:v>
                </c:pt>
                <c:pt idx="57">
                  <c:v>2.2400000000000002</c:v>
                </c:pt>
                <c:pt idx="58">
                  <c:v>2.2599999999999998</c:v>
                </c:pt>
                <c:pt idx="59">
                  <c:v>2.2799999999999998</c:v>
                </c:pt>
                <c:pt idx="60">
                  <c:v>2.2999999999999998</c:v>
                </c:pt>
                <c:pt idx="61">
                  <c:v>2.3199999999999998</c:v>
                </c:pt>
                <c:pt idx="62">
                  <c:v>2.34</c:v>
                </c:pt>
                <c:pt idx="63">
                  <c:v>2.36</c:v>
                </c:pt>
                <c:pt idx="64">
                  <c:v>2.38</c:v>
                </c:pt>
                <c:pt idx="65">
                  <c:v>2.4</c:v>
                </c:pt>
                <c:pt idx="66">
                  <c:v>2.42</c:v>
                </c:pt>
                <c:pt idx="67">
                  <c:v>2.44</c:v>
                </c:pt>
                <c:pt idx="68">
                  <c:v>2.46</c:v>
                </c:pt>
                <c:pt idx="69">
                  <c:v>2.48</c:v>
                </c:pt>
                <c:pt idx="70">
                  <c:v>2.5</c:v>
                </c:pt>
                <c:pt idx="71">
                  <c:v>2.52</c:v>
                </c:pt>
                <c:pt idx="72">
                  <c:v>2.54</c:v>
                </c:pt>
                <c:pt idx="73">
                  <c:v>2.56</c:v>
                </c:pt>
                <c:pt idx="74">
                  <c:v>2.58</c:v>
                </c:pt>
                <c:pt idx="75">
                  <c:v>2.6</c:v>
                </c:pt>
                <c:pt idx="76">
                  <c:v>2.62</c:v>
                </c:pt>
                <c:pt idx="77">
                  <c:v>2.64</c:v>
                </c:pt>
                <c:pt idx="78">
                  <c:v>2.66</c:v>
                </c:pt>
                <c:pt idx="79">
                  <c:v>2.68</c:v>
                </c:pt>
                <c:pt idx="80">
                  <c:v>2.7</c:v>
                </c:pt>
                <c:pt idx="81">
                  <c:v>2.72</c:v>
                </c:pt>
                <c:pt idx="82">
                  <c:v>2.74</c:v>
                </c:pt>
                <c:pt idx="83">
                  <c:v>2.76</c:v>
                </c:pt>
                <c:pt idx="84">
                  <c:v>2.78</c:v>
                </c:pt>
                <c:pt idx="85">
                  <c:v>2.8</c:v>
                </c:pt>
                <c:pt idx="86">
                  <c:v>2.82</c:v>
                </c:pt>
                <c:pt idx="87">
                  <c:v>2.84</c:v>
                </c:pt>
                <c:pt idx="88">
                  <c:v>2.86</c:v>
                </c:pt>
                <c:pt idx="89">
                  <c:v>2.88</c:v>
                </c:pt>
                <c:pt idx="90">
                  <c:v>2.9</c:v>
                </c:pt>
                <c:pt idx="91">
                  <c:v>2.92</c:v>
                </c:pt>
                <c:pt idx="92">
                  <c:v>2.94</c:v>
                </c:pt>
                <c:pt idx="93">
                  <c:v>2.96</c:v>
                </c:pt>
                <c:pt idx="94">
                  <c:v>2.98</c:v>
                </c:pt>
                <c:pt idx="95">
                  <c:v>3</c:v>
                </c:pt>
                <c:pt idx="96">
                  <c:v>3.02</c:v>
                </c:pt>
                <c:pt idx="97">
                  <c:v>3.04</c:v>
                </c:pt>
                <c:pt idx="98">
                  <c:v>3.06</c:v>
                </c:pt>
                <c:pt idx="99">
                  <c:v>3.08</c:v>
                </c:pt>
                <c:pt idx="100">
                  <c:v>3.1</c:v>
                </c:pt>
                <c:pt idx="101">
                  <c:v>3.12</c:v>
                </c:pt>
                <c:pt idx="102">
                  <c:v>3.14</c:v>
                </c:pt>
                <c:pt idx="103">
                  <c:v>3.16</c:v>
                </c:pt>
                <c:pt idx="104">
                  <c:v>3.18</c:v>
                </c:pt>
                <c:pt idx="105">
                  <c:v>3.2</c:v>
                </c:pt>
                <c:pt idx="106">
                  <c:v>3.22</c:v>
                </c:pt>
                <c:pt idx="107">
                  <c:v>3.24</c:v>
                </c:pt>
                <c:pt idx="108">
                  <c:v>3.26</c:v>
                </c:pt>
                <c:pt idx="109">
                  <c:v>3.28</c:v>
                </c:pt>
                <c:pt idx="110">
                  <c:v>3.3</c:v>
                </c:pt>
              </c:numCache>
            </c:numRef>
          </c:cat>
          <c:val>
            <c:numRef>
              <c:f>LLCCM!$I$3:$I$113</c:f>
              <c:numCache>
                <c:formatCode>General</c:formatCode>
                <c:ptCount val="111"/>
                <c:pt idx="0">
                  <c:v>5.3964497041420127</c:v>
                </c:pt>
                <c:pt idx="1">
                  <c:v>5.5705175857988154</c:v>
                </c:pt>
                <c:pt idx="2">
                  <c:v>5.7473484497041429</c:v>
                </c:pt>
                <c:pt idx="3">
                  <c:v>5.9269422958579883</c:v>
                </c:pt>
                <c:pt idx="4">
                  <c:v>6.1092991242603585</c:v>
                </c:pt>
                <c:pt idx="5">
                  <c:v>6.2944189349112447</c:v>
                </c:pt>
                <c:pt idx="6">
                  <c:v>6.4823017278106523</c:v>
                </c:pt>
                <c:pt idx="7">
                  <c:v>6.6729475029585821</c:v>
                </c:pt>
                <c:pt idx="8">
                  <c:v>6.8663562603550341</c:v>
                </c:pt>
                <c:pt idx="9">
                  <c:v>7.0625280000000066</c:v>
                </c:pt>
                <c:pt idx="10">
                  <c:v>7.2614627218934968</c:v>
                </c:pt>
                <c:pt idx="11">
                  <c:v>7.4631604260355093</c:v>
                </c:pt>
                <c:pt idx="12">
                  <c:v>7.6676211124260423</c:v>
                </c:pt>
                <c:pt idx="13">
                  <c:v>7.8748447810650983</c:v>
                </c:pt>
                <c:pt idx="14">
                  <c:v>8.0848314319526704</c:v>
                </c:pt>
                <c:pt idx="15">
                  <c:v>8.2975810650887638</c:v>
                </c:pt>
                <c:pt idx="16">
                  <c:v>8.5130936804733821</c:v>
                </c:pt>
                <c:pt idx="17">
                  <c:v>8.7313692781065164</c:v>
                </c:pt>
                <c:pt idx="18">
                  <c:v>8.9524078579881721</c:v>
                </c:pt>
                <c:pt idx="19">
                  <c:v>9.1762094201183473</c:v>
                </c:pt>
                <c:pt idx="20">
                  <c:v>9.4027739644970474</c:v>
                </c:pt>
                <c:pt idx="21">
                  <c:v>9.6321014911242635</c:v>
                </c:pt>
                <c:pt idx="22">
                  <c:v>9.8641919999999992</c:v>
                </c:pt>
                <c:pt idx="23">
                  <c:v>10.09904549112426</c:v>
                </c:pt>
                <c:pt idx="24">
                  <c:v>10.336661964497038</c:v>
                </c:pt>
                <c:pt idx="25">
                  <c:v>10.577041420118343</c:v>
                </c:pt>
                <c:pt idx="26">
                  <c:v>11.308723814827708</c:v>
                </c:pt>
                <c:pt idx="27">
                  <c:v>12.040406209537071</c:v>
                </c:pt>
                <c:pt idx="28">
                  <c:v>12.772088604246434</c:v>
                </c:pt>
                <c:pt idx="29">
                  <c:v>13.503770998955797</c:v>
                </c:pt>
                <c:pt idx="30">
                  <c:v>14.235453393665159</c:v>
                </c:pt>
                <c:pt idx="31">
                  <c:v>14.967135788374522</c:v>
                </c:pt>
                <c:pt idx="32">
                  <c:v>15.698818183083883</c:v>
                </c:pt>
                <c:pt idx="33">
                  <c:v>16.430500577793243</c:v>
                </c:pt>
                <c:pt idx="34">
                  <c:v>17.16218297250261</c:v>
                </c:pt>
                <c:pt idx="35">
                  <c:v>17.893865367211969</c:v>
                </c:pt>
                <c:pt idx="36">
                  <c:v>18.625547761921329</c:v>
                </c:pt>
                <c:pt idx="37">
                  <c:v>19.357230156630695</c:v>
                </c:pt>
                <c:pt idx="38">
                  <c:v>20.088912551340055</c:v>
                </c:pt>
                <c:pt idx="39">
                  <c:v>20.820594946049418</c:v>
                </c:pt>
                <c:pt idx="40">
                  <c:v>21.552277340758778</c:v>
                </c:pt>
                <c:pt idx="41">
                  <c:v>22.283959735468137</c:v>
                </c:pt>
                <c:pt idx="42">
                  <c:v>23.015642130177504</c:v>
                </c:pt>
                <c:pt idx="43">
                  <c:v>23.747324524886864</c:v>
                </c:pt>
                <c:pt idx="44">
                  <c:v>24.479006919596223</c:v>
                </c:pt>
                <c:pt idx="45">
                  <c:v>25.21068931430559</c:v>
                </c:pt>
                <c:pt idx="46">
                  <c:v>25.942371709014949</c:v>
                </c:pt>
                <c:pt idx="47">
                  <c:v>26.674054103724313</c:v>
                </c:pt>
                <c:pt idx="48">
                  <c:v>27.405736498433679</c:v>
                </c:pt>
                <c:pt idx="49">
                  <c:v>28.137418893143042</c:v>
                </c:pt>
                <c:pt idx="50">
                  <c:v>28.86910128785242</c:v>
                </c:pt>
                <c:pt idx="51">
                  <c:v>29.734693583942448</c:v>
                </c:pt>
                <c:pt idx="52">
                  <c:v>30.613071586030852</c:v>
                </c:pt>
                <c:pt idx="53">
                  <c:v>31.504235294117631</c:v>
                </c:pt>
                <c:pt idx="54">
                  <c:v>32.408184708202803</c:v>
                </c:pt>
                <c:pt idx="55">
                  <c:v>33.324919828286333</c:v>
                </c:pt>
                <c:pt idx="56">
                  <c:v>34.254440654368231</c:v>
                </c:pt>
                <c:pt idx="57">
                  <c:v>35.196747186448519</c:v>
                </c:pt>
                <c:pt idx="58">
                  <c:v>36.151839424527175</c:v>
                </c:pt>
                <c:pt idx="59">
                  <c:v>37.119717368604221</c:v>
                </c:pt>
                <c:pt idx="60">
                  <c:v>38.10038101867962</c:v>
                </c:pt>
                <c:pt idx="61">
                  <c:v>39.093830374753409</c:v>
                </c:pt>
                <c:pt idx="62">
                  <c:v>40.100065436825581</c:v>
                </c:pt>
                <c:pt idx="63">
                  <c:v>41.119086204896114</c:v>
                </c:pt>
                <c:pt idx="64">
                  <c:v>42.150892678965015</c:v>
                </c:pt>
                <c:pt idx="65">
                  <c:v>43.195484859032319</c:v>
                </c:pt>
                <c:pt idx="66">
                  <c:v>44.252862745097985</c:v>
                </c:pt>
                <c:pt idx="67">
                  <c:v>45.323026337162005</c:v>
                </c:pt>
                <c:pt idx="68">
                  <c:v>46.405975635224422</c:v>
                </c:pt>
                <c:pt idx="69">
                  <c:v>47.501710639285221</c:v>
                </c:pt>
                <c:pt idx="70">
                  <c:v>48.610231349344389</c:v>
                </c:pt>
                <c:pt idx="71">
                  <c:v>49.731537765401939</c:v>
                </c:pt>
                <c:pt idx="72">
                  <c:v>50.86562988745785</c:v>
                </c:pt>
                <c:pt idx="73">
                  <c:v>52.01250771551215</c:v>
                </c:pt>
                <c:pt idx="74">
                  <c:v>53.172171249564812</c:v>
                </c:pt>
                <c:pt idx="75">
                  <c:v>54.344620489615863</c:v>
                </c:pt>
                <c:pt idx="76">
                  <c:v>55.529855435665276</c:v>
                </c:pt>
                <c:pt idx="77">
                  <c:v>56.727876087713078</c:v>
                </c:pt>
                <c:pt idx="78">
                  <c:v>57.938682445759255</c:v>
                </c:pt>
                <c:pt idx="79">
                  <c:v>59.162274509803794</c:v>
                </c:pt>
                <c:pt idx="80">
                  <c:v>60.398652279846736</c:v>
                </c:pt>
                <c:pt idx="81">
                  <c:v>61.647815755888033</c:v>
                </c:pt>
                <c:pt idx="82">
                  <c:v>62.90976493792769</c:v>
                </c:pt>
                <c:pt idx="83">
                  <c:v>64.184499825965744</c:v>
                </c:pt>
                <c:pt idx="84">
                  <c:v>65.472020420002167</c:v>
                </c:pt>
                <c:pt idx="85">
                  <c:v>66.772326720036943</c:v>
                </c:pt>
                <c:pt idx="86">
                  <c:v>68.085418726070145</c:v>
                </c:pt>
                <c:pt idx="87">
                  <c:v>69.411296438101687</c:v>
                </c:pt>
                <c:pt idx="88">
                  <c:v>70.749959856131611</c:v>
                </c:pt>
                <c:pt idx="89">
                  <c:v>72.101408980159945</c:v>
                </c:pt>
                <c:pt idx="90">
                  <c:v>73.465643810186606</c:v>
                </c:pt>
                <c:pt idx="91">
                  <c:v>74.840661296625896</c:v>
                </c:pt>
                <c:pt idx="92">
                  <c:v>76.21691781439182</c:v>
                </c:pt>
                <c:pt idx="93">
                  <c:v>77.593174332157773</c:v>
                </c:pt>
                <c:pt idx="94">
                  <c:v>78.969430849923739</c:v>
                </c:pt>
                <c:pt idx="95">
                  <c:v>80.345687367689678</c:v>
                </c:pt>
                <c:pt idx="96">
                  <c:v>81.72194388545563</c:v>
                </c:pt>
                <c:pt idx="97">
                  <c:v>83.098200403221568</c:v>
                </c:pt>
                <c:pt idx="98">
                  <c:v>84.474456920987521</c:v>
                </c:pt>
                <c:pt idx="99">
                  <c:v>85.850713438753459</c:v>
                </c:pt>
                <c:pt idx="100">
                  <c:v>87.226969956519412</c:v>
                </c:pt>
                <c:pt idx="101">
                  <c:v>88.60322647428535</c:v>
                </c:pt>
                <c:pt idx="102">
                  <c:v>89.979482992051288</c:v>
                </c:pt>
                <c:pt idx="103">
                  <c:v>91.355739509817241</c:v>
                </c:pt>
                <c:pt idx="104">
                  <c:v>92.731996027583193</c:v>
                </c:pt>
                <c:pt idx="105">
                  <c:v>94.108252545349131</c:v>
                </c:pt>
                <c:pt idx="106">
                  <c:v>95.48450906311507</c:v>
                </c:pt>
                <c:pt idx="107">
                  <c:v>96.860765580881036</c:v>
                </c:pt>
                <c:pt idx="108">
                  <c:v>98.237022098646975</c:v>
                </c:pt>
                <c:pt idx="109">
                  <c:v>99.613278616412913</c:v>
                </c:pt>
                <c:pt idx="110">
                  <c:v>100.98953513417916</c:v>
                </c:pt>
              </c:numCache>
            </c:numRef>
          </c:val>
          <c:smooth val="0"/>
          <c:extLst>
            <c:ext xmlns:c16="http://schemas.microsoft.com/office/drawing/2014/chart" uri="{C3380CC4-5D6E-409C-BE32-E72D297353CC}">
              <c16:uniqueId val="{00000004-32B6-41DB-9548-078DF67AE686}"/>
            </c:ext>
          </c:extLst>
        </c:ser>
        <c:ser>
          <c:idx val="3"/>
          <c:order val="3"/>
          <c:tx>
            <c:v>Vo J9 Po</c:v>
          </c:tx>
          <c:spPr>
            <a:ln w="19050" cap="rnd">
              <a:solidFill>
                <a:schemeClr val="accent4"/>
              </a:solidFill>
              <a:round/>
            </a:ln>
            <a:effectLst/>
          </c:spPr>
          <c:marker>
            <c:symbol val="none"/>
          </c:marker>
          <c:val>
            <c:numRef>
              <c:f>LLCCM!$T$3:$T$113</c:f>
              <c:numCache>
                <c:formatCode>General</c:formatCode>
                <c:ptCount val="11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numCache>
            </c:numRef>
          </c:val>
          <c:smooth val="0"/>
          <c:extLst>
            <c:ext xmlns:c16="http://schemas.microsoft.com/office/drawing/2014/chart" uri="{C3380CC4-5D6E-409C-BE32-E72D297353CC}">
              <c16:uniqueId val="{00000001-1E82-4B3D-8A1E-803E3FC87540}"/>
            </c:ext>
          </c:extLst>
        </c:ser>
        <c:dLbls>
          <c:showLegendKey val="0"/>
          <c:showVal val="0"/>
          <c:showCatName val="0"/>
          <c:showSerName val="0"/>
          <c:showPercent val="0"/>
          <c:showBubbleSize val="0"/>
        </c:dLbls>
        <c:marker val="1"/>
        <c:smooth val="0"/>
        <c:axId val="1711383008"/>
        <c:axId val="1711379680"/>
      </c:lineChart>
      <c:catAx>
        <c:axId val="1560808400"/>
        <c:scaling>
          <c:orientation val="minMax"/>
        </c:scaling>
        <c:delete val="0"/>
        <c:axPos val="b"/>
        <c:majorGridlines>
          <c:spPr>
            <a:ln w="9525" cap="flat" cmpd="sng" algn="ctr">
              <a:noFill/>
              <a:round/>
            </a:ln>
            <a:effectLst/>
          </c:spPr>
        </c:majorGridlines>
        <c:title>
          <c:tx>
            <c:rich>
              <a:bodyPr rot="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r>
                  <a:rPr lang="en-US" altLang="zh-CN" sz="1200"/>
                  <a:t>Vc/V</a:t>
                </a:r>
                <a:endParaRPr lang="zh-CN" altLang="en-US" sz="1200"/>
              </a:p>
            </c:rich>
          </c:tx>
          <c:overlay val="0"/>
          <c:spPr>
            <a:noFill/>
            <a:ln>
              <a:noFill/>
            </a:ln>
            <a:effectLst/>
          </c:spPr>
          <c:txPr>
            <a:bodyPr rot="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endParaRPr lang="zh-CN" alt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en-US"/>
          </a:p>
        </c:txPr>
        <c:crossAx val="1560804656"/>
        <c:crosses val="autoZero"/>
        <c:auto val="1"/>
        <c:lblAlgn val="ctr"/>
        <c:lblOffset val="200"/>
        <c:tickMarkSkip val="1"/>
        <c:noMultiLvlLbl val="0"/>
      </c:catAx>
      <c:valAx>
        <c:axId val="15608046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r>
                  <a:rPr lang="en-US" altLang="zh-CN" sz="1200"/>
                  <a:t>Fsw/kHz</a:t>
                </a:r>
                <a:endParaRPr lang="zh-CN" altLang="en-US" sz="1200"/>
              </a:p>
            </c:rich>
          </c:tx>
          <c:layout>
            <c:manualLayout>
              <c:xMode val="edge"/>
              <c:yMode val="edge"/>
              <c:x val="2.5052362286528886E-2"/>
              <c:y val="0.35486793551352797"/>
            </c:manualLayout>
          </c:layout>
          <c:overlay val="0"/>
          <c:spPr>
            <a:noFill/>
            <a:ln>
              <a:noFill/>
            </a:ln>
            <a:effectLst/>
          </c:spPr>
          <c:txPr>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endParaRPr lang="zh-CN" alt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en-US"/>
          </a:p>
        </c:txPr>
        <c:crossAx val="1560808400"/>
        <c:crosses val="autoZero"/>
        <c:crossBetween val="between"/>
      </c:valAx>
      <c:valAx>
        <c:axId val="1711379680"/>
        <c:scaling>
          <c:orientation val="minMax"/>
        </c:scaling>
        <c:delete val="0"/>
        <c:axPos val="r"/>
        <c:title>
          <c:tx>
            <c:rich>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r>
                  <a:rPr lang="en-US" altLang="zh-CN" sz="1200"/>
                  <a:t>Po/W</a:t>
                </a:r>
                <a:endParaRPr lang="zh-CN" altLang="en-US" sz="1200"/>
              </a:p>
            </c:rich>
          </c:tx>
          <c:layout>
            <c:manualLayout>
              <c:xMode val="edge"/>
              <c:yMode val="edge"/>
              <c:x val="0.73547401348926145"/>
              <c:y val="0.40221316716385325"/>
            </c:manualLayout>
          </c:layout>
          <c:overlay val="0"/>
          <c:spPr>
            <a:noFill/>
            <a:ln>
              <a:noFill/>
            </a:ln>
            <a:effectLst/>
          </c:spPr>
          <c:txPr>
            <a:bodyPr rot="-5400000" spcFirstLastPara="1" vertOverflow="ellipsis" vert="horz" wrap="square" anchor="ctr" anchorCtr="1"/>
            <a:lstStyle/>
            <a:p>
              <a:pPr>
                <a:defRPr lang="ja-JP" sz="1200" b="0" i="0" u="none" strike="noStrike" kern="1200" baseline="0">
                  <a:solidFill>
                    <a:schemeClr val="tx1">
                      <a:lumMod val="65000"/>
                      <a:lumOff val="35000"/>
                    </a:schemeClr>
                  </a:solidFill>
                  <a:latin typeface="+mn-lt"/>
                  <a:ea typeface="+mn-ea"/>
                  <a:cs typeface="+mn-cs"/>
                </a:defRPr>
              </a:pPr>
              <a:endParaRPr lang="zh-CN" altLang="en-US"/>
            </a:p>
          </c:txPr>
        </c:title>
        <c:numFmt formatCode="General"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en-US"/>
          </a:p>
        </c:txPr>
        <c:crossAx val="1711383008"/>
        <c:crosses val="max"/>
        <c:crossBetween val="between"/>
      </c:valAx>
      <c:catAx>
        <c:axId val="1711383008"/>
        <c:scaling>
          <c:orientation val="minMax"/>
        </c:scaling>
        <c:delete val="1"/>
        <c:axPos val="b"/>
        <c:numFmt formatCode="General" sourceLinked="1"/>
        <c:majorTickMark val="out"/>
        <c:minorTickMark val="none"/>
        <c:tickLblPos val="nextTo"/>
        <c:crossAx val="1711379680"/>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lang="ja-JP"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8</xdr:col>
      <xdr:colOff>57726</xdr:colOff>
      <xdr:row>20</xdr:row>
      <xdr:rowOff>9073</xdr:rowOff>
    </xdr:from>
    <xdr:to>
      <xdr:col>14</xdr:col>
      <xdr:colOff>0</xdr:colOff>
      <xdr:row>35</xdr:row>
      <xdr:rowOff>172357</xdr:rowOff>
    </xdr:to>
    <xdr:graphicFrame macro="">
      <xdr:nvGraphicFramePr>
        <xdr:cNvPr id="2" name="chart5" hidden="1">
          <a:extLst>
            <a:ext uri="{FF2B5EF4-FFF2-40B4-BE49-F238E27FC236}">
              <a16:creationId xmlns:a16="http://schemas.microsoft.com/office/drawing/2014/main" id="{0206CA6C-69D5-4813-A86E-CD02B99A3C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48654</xdr:colOff>
      <xdr:row>49</xdr:row>
      <xdr:rowOff>0</xdr:rowOff>
    </xdr:from>
    <xdr:to>
      <xdr:col>14</xdr:col>
      <xdr:colOff>0</xdr:colOff>
      <xdr:row>63</xdr:row>
      <xdr:rowOff>0</xdr:rowOff>
    </xdr:to>
    <xdr:graphicFrame macro="">
      <xdr:nvGraphicFramePr>
        <xdr:cNvPr id="3" name="chart6" hidden="1">
          <a:extLst>
            <a:ext uri="{FF2B5EF4-FFF2-40B4-BE49-F238E27FC236}">
              <a16:creationId xmlns:a16="http://schemas.microsoft.com/office/drawing/2014/main" id="{65ADFA36-A805-4CF4-AD3C-A0553E5CD3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407390</xdr:colOff>
      <xdr:row>43</xdr:row>
      <xdr:rowOff>55252</xdr:rowOff>
    </xdr:from>
    <xdr:to>
      <xdr:col>21</xdr:col>
      <xdr:colOff>783853</xdr:colOff>
      <xdr:row>71</xdr:row>
      <xdr:rowOff>136894</xdr:rowOff>
    </xdr:to>
    <xdr:graphicFrame macro="">
      <xdr:nvGraphicFramePr>
        <xdr:cNvPr id="4" name="图表 3">
          <a:extLst>
            <a:ext uri="{FF2B5EF4-FFF2-40B4-BE49-F238E27FC236}">
              <a16:creationId xmlns:a16="http://schemas.microsoft.com/office/drawing/2014/main" id="{971ACED3-3617-41D3-8076-9E49976646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388618</xdr:colOff>
      <xdr:row>13</xdr:row>
      <xdr:rowOff>90712</xdr:rowOff>
    </xdr:from>
    <xdr:to>
      <xdr:col>21</xdr:col>
      <xdr:colOff>658091</xdr:colOff>
      <xdr:row>40</xdr:row>
      <xdr:rowOff>136071</xdr:rowOff>
    </xdr:to>
    <xdr:graphicFrame macro="">
      <xdr:nvGraphicFramePr>
        <xdr:cNvPr id="5" name="图表 4">
          <a:extLst>
            <a:ext uri="{FF2B5EF4-FFF2-40B4-BE49-F238E27FC236}">
              <a16:creationId xmlns:a16="http://schemas.microsoft.com/office/drawing/2014/main" id="{D1C189E7-BDE2-4BE1-8C9D-3766975941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82</xdr:row>
      <xdr:rowOff>46181</xdr:rowOff>
    </xdr:from>
    <xdr:to>
      <xdr:col>4</xdr:col>
      <xdr:colOff>2170546</xdr:colOff>
      <xdr:row>107</xdr:row>
      <xdr:rowOff>75795</xdr:rowOff>
    </xdr:to>
    <xdr:pic>
      <xdr:nvPicPr>
        <xdr:cNvPr id="6" name="Picture 5">
          <a:extLst>
            <a:ext uri="{FF2B5EF4-FFF2-40B4-BE49-F238E27FC236}">
              <a16:creationId xmlns:a16="http://schemas.microsoft.com/office/drawing/2014/main" id="{959CB82C-1706-7B03-23FB-4CF79700C72F}"/>
            </a:ext>
          </a:extLst>
        </xdr:cNvPr>
        <xdr:cNvPicPr>
          <a:picLocks noChangeAspect="1"/>
        </xdr:cNvPicPr>
      </xdr:nvPicPr>
      <xdr:blipFill>
        <a:blip xmlns:r="http://schemas.openxmlformats.org/officeDocument/2006/relationships" r:embed="rId5"/>
        <a:stretch>
          <a:fillRect/>
        </a:stretch>
      </xdr:blipFill>
      <xdr:spPr>
        <a:xfrm>
          <a:off x="0" y="13069454"/>
          <a:ext cx="5322455" cy="4359158"/>
        </a:xfrm>
        <a:prstGeom prst="rect">
          <a:avLst/>
        </a:prstGeom>
      </xdr:spPr>
    </xdr:pic>
    <xdr:clientData/>
  </xdr:twoCellAnchor>
  <xdr:twoCellAnchor>
    <xdr:from>
      <xdr:col>4</xdr:col>
      <xdr:colOff>369454</xdr:colOff>
      <xdr:row>85</xdr:row>
      <xdr:rowOff>92364</xdr:rowOff>
    </xdr:from>
    <xdr:to>
      <xdr:col>4</xdr:col>
      <xdr:colOff>773545</xdr:colOff>
      <xdr:row>86</xdr:row>
      <xdr:rowOff>150091</xdr:rowOff>
    </xdr:to>
    <xdr:sp macro="" textlink="">
      <xdr:nvSpPr>
        <xdr:cNvPr id="7" name="TextBox 6">
          <a:extLst>
            <a:ext uri="{FF2B5EF4-FFF2-40B4-BE49-F238E27FC236}">
              <a16:creationId xmlns:a16="http://schemas.microsoft.com/office/drawing/2014/main" id="{385673FC-F6E2-EC75-07B6-04D9F72655BC}"/>
            </a:ext>
          </a:extLst>
        </xdr:cNvPr>
        <xdr:cNvSpPr txBox="1"/>
      </xdr:nvSpPr>
      <xdr:spPr>
        <a:xfrm>
          <a:off x="3036454" y="13635182"/>
          <a:ext cx="404091" cy="230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Rvs</a:t>
          </a:r>
        </a:p>
      </xdr:txBody>
    </xdr:sp>
    <xdr:clientData/>
  </xdr:twoCellAnchor>
  <xdr:twoCellAnchor>
    <xdr:from>
      <xdr:col>4</xdr:col>
      <xdr:colOff>1884218</xdr:colOff>
      <xdr:row>98</xdr:row>
      <xdr:rowOff>48491</xdr:rowOff>
    </xdr:from>
    <xdr:to>
      <xdr:col>4</xdr:col>
      <xdr:colOff>2288309</xdr:colOff>
      <xdr:row>99</xdr:row>
      <xdr:rowOff>106218</xdr:rowOff>
    </xdr:to>
    <xdr:sp macro="" textlink="">
      <xdr:nvSpPr>
        <xdr:cNvPr id="8" name="TextBox 7">
          <a:extLst>
            <a:ext uri="{FF2B5EF4-FFF2-40B4-BE49-F238E27FC236}">
              <a16:creationId xmlns:a16="http://schemas.microsoft.com/office/drawing/2014/main" id="{A4461239-A10A-4285-A2E3-BA1751193024}"/>
            </a:ext>
          </a:extLst>
        </xdr:cNvPr>
        <xdr:cNvSpPr txBox="1"/>
      </xdr:nvSpPr>
      <xdr:spPr>
        <a:xfrm>
          <a:off x="4551218" y="15842673"/>
          <a:ext cx="404091" cy="230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Rcs</a:t>
          </a:r>
        </a:p>
      </xdr:txBody>
    </xdr:sp>
    <xdr:clientData/>
  </xdr:twoCellAnchor>
  <xdr:twoCellAnchor editAs="oneCell">
    <xdr:from>
      <xdr:col>6</xdr:col>
      <xdr:colOff>230909</xdr:colOff>
      <xdr:row>84</xdr:row>
      <xdr:rowOff>150092</xdr:rowOff>
    </xdr:from>
    <xdr:to>
      <xdr:col>10</xdr:col>
      <xdr:colOff>364998</xdr:colOff>
      <xdr:row>105</xdr:row>
      <xdr:rowOff>92363</xdr:rowOff>
    </xdr:to>
    <xdr:pic>
      <xdr:nvPicPr>
        <xdr:cNvPr id="9" name="Picture 8">
          <a:extLst>
            <a:ext uri="{FF2B5EF4-FFF2-40B4-BE49-F238E27FC236}">
              <a16:creationId xmlns:a16="http://schemas.microsoft.com/office/drawing/2014/main" id="{17250886-05B3-C171-3122-25A3182CF6AC}"/>
            </a:ext>
          </a:extLst>
        </xdr:cNvPr>
        <xdr:cNvPicPr>
          <a:picLocks noChangeAspect="1"/>
        </xdr:cNvPicPr>
      </xdr:nvPicPr>
      <xdr:blipFill>
        <a:blip xmlns:r="http://schemas.openxmlformats.org/officeDocument/2006/relationships" r:embed="rId6"/>
        <a:stretch>
          <a:fillRect/>
        </a:stretch>
      </xdr:blipFill>
      <xdr:spPr>
        <a:xfrm>
          <a:off x="6373091" y="13519728"/>
          <a:ext cx="6322452" cy="3579090"/>
        </a:xfrm>
        <a:prstGeom prst="rect">
          <a:avLst/>
        </a:prstGeom>
      </xdr:spPr>
    </xdr:pic>
    <xdr:clientData/>
  </xdr:twoCellAnchor>
  <xdr:twoCellAnchor>
    <xdr:from>
      <xdr:col>8</xdr:col>
      <xdr:colOff>140854</xdr:colOff>
      <xdr:row>95</xdr:row>
      <xdr:rowOff>71582</xdr:rowOff>
    </xdr:from>
    <xdr:to>
      <xdr:col>8</xdr:col>
      <xdr:colOff>544946</xdr:colOff>
      <xdr:row>96</xdr:row>
      <xdr:rowOff>129309</xdr:rowOff>
    </xdr:to>
    <xdr:sp macro="" textlink="">
      <xdr:nvSpPr>
        <xdr:cNvPr id="10" name="TextBox 9">
          <a:extLst>
            <a:ext uri="{FF2B5EF4-FFF2-40B4-BE49-F238E27FC236}">
              <a16:creationId xmlns:a16="http://schemas.microsoft.com/office/drawing/2014/main" id="{237ECF89-9B57-4D21-90AD-A257578FF8B6}"/>
            </a:ext>
          </a:extLst>
        </xdr:cNvPr>
        <xdr:cNvSpPr txBox="1"/>
      </xdr:nvSpPr>
      <xdr:spPr>
        <a:xfrm>
          <a:off x="11178309" y="16062037"/>
          <a:ext cx="404092" cy="230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Rvs</a:t>
          </a:r>
        </a:p>
      </xdr:txBody>
    </xdr:sp>
    <xdr:clientData/>
  </xdr:twoCellAnchor>
  <xdr:twoCellAnchor>
    <xdr:from>
      <xdr:col>6</xdr:col>
      <xdr:colOff>96981</xdr:colOff>
      <xdr:row>94</xdr:row>
      <xdr:rowOff>39254</xdr:rowOff>
    </xdr:from>
    <xdr:to>
      <xdr:col>7</xdr:col>
      <xdr:colOff>73890</xdr:colOff>
      <xdr:row>95</xdr:row>
      <xdr:rowOff>96982</xdr:rowOff>
    </xdr:to>
    <xdr:sp macro="" textlink="">
      <xdr:nvSpPr>
        <xdr:cNvPr id="11" name="TextBox 10">
          <a:extLst>
            <a:ext uri="{FF2B5EF4-FFF2-40B4-BE49-F238E27FC236}">
              <a16:creationId xmlns:a16="http://schemas.microsoft.com/office/drawing/2014/main" id="{1477E25A-6C0A-4AFC-B987-C509942A6255}"/>
            </a:ext>
          </a:extLst>
        </xdr:cNvPr>
        <xdr:cNvSpPr txBox="1"/>
      </xdr:nvSpPr>
      <xdr:spPr>
        <a:xfrm>
          <a:off x="6239163" y="15140709"/>
          <a:ext cx="404091" cy="230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Rcs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2</xdr:row>
      <xdr:rowOff>114300</xdr:rowOff>
    </xdr:from>
    <xdr:to>
      <xdr:col>13</xdr:col>
      <xdr:colOff>82961</xdr:colOff>
      <xdr:row>5</xdr:row>
      <xdr:rowOff>158781</xdr:rowOff>
    </xdr:to>
    <xdr:pic>
      <xdr:nvPicPr>
        <xdr:cNvPr id="2" name="Picture 1">
          <a:extLst>
            <a:ext uri="{FF2B5EF4-FFF2-40B4-BE49-F238E27FC236}">
              <a16:creationId xmlns:a16="http://schemas.microsoft.com/office/drawing/2014/main" id="{7D2F1A82-F4F2-E5FD-089F-B1B6D060388C}"/>
            </a:ext>
          </a:extLst>
        </xdr:cNvPr>
        <xdr:cNvPicPr>
          <a:picLocks noChangeAspect="1"/>
        </xdr:cNvPicPr>
      </xdr:nvPicPr>
      <xdr:blipFill>
        <a:blip xmlns:r="http://schemas.openxmlformats.org/officeDocument/2006/relationships" r:embed="rId1"/>
        <a:stretch>
          <a:fillRect/>
        </a:stretch>
      </xdr:blipFill>
      <xdr:spPr>
        <a:xfrm>
          <a:off x="19050" y="533400"/>
          <a:ext cx="7988711" cy="596931"/>
        </a:xfrm>
        <a:prstGeom prst="rect">
          <a:avLst/>
        </a:prstGeom>
      </xdr:spPr>
    </xdr:pic>
    <xdr:clientData/>
  </xdr:twoCellAnchor>
  <xdr:twoCellAnchor editAs="oneCell">
    <xdr:from>
      <xdr:col>0</xdr:col>
      <xdr:colOff>0</xdr:colOff>
      <xdr:row>10</xdr:row>
      <xdr:rowOff>6350</xdr:rowOff>
    </xdr:from>
    <xdr:to>
      <xdr:col>13</xdr:col>
      <xdr:colOff>102013</xdr:colOff>
      <xdr:row>12</xdr:row>
      <xdr:rowOff>44471</xdr:rowOff>
    </xdr:to>
    <xdr:pic>
      <xdr:nvPicPr>
        <xdr:cNvPr id="3" name="Picture 2">
          <a:extLst>
            <a:ext uri="{FF2B5EF4-FFF2-40B4-BE49-F238E27FC236}">
              <a16:creationId xmlns:a16="http://schemas.microsoft.com/office/drawing/2014/main" id="{EC510C6C-611E-30A1-E3E6-DFF64DF6ADE1}"/>
            </a:ext>
          </a:extLst>
        </xdr:cNvPr>
        <xdr:cNvPicPr>
          <a:picLocks noChangeAspect="1"/>
        </xdr:cNvPicPr>
      </xdr:nvPicPr>
      <xdr:blipFill>
        <a:blip xmlns:r="http://schemas.openxmlformats.org/officeDocument/2006/relationships" r:embed="rId2"/>
        <a:stretch>
          <a:fillRect/>
        </a:stretch>
      </xdr:blipFill>
      <xdr:spPr>
        <a:xfrm>
          <a:off x="0" y="1847850"/>
          <a:ext cx="8026813" cy="406421"/>
        </a:xfrm>
        <a:prstGeom prst="rect">
          <a:avLst/>
        </a:prstGeom>
      </xdr:spPr>
    </xdr:pic>
    <xdr:clientData/>
  </xdr:twoCellAnchor>
  <xdr:twoCellAnchor editAs="oneCell">
    <xdr:from>
      <xdr:col>0</xdr:col>
      <xdr:colOff>0</xdr:colOff>
      <xdr:row>14</xdr:row>
      <xdr:rowOff>76200</xdr:rowOff>
    </xdr:from>
    <xdr:to>
      <xdr:col>13</xdr:col>
      <xdr:colOff>140114</xdr:colOff>
      <xdr:row>16</xdr:row>
      <xdr:rowOff>133372</xdr:rowOff>
    </xdr:to>
    <xdr:pic>
      <xdr:nvPicPr>
        <xdr:cNvPr id="4" name="Picture 3">
          <a:extLst>
            <a:ext uri="{FF2B5EF4-FFF2-40B4-BE49-F238E27FC236}">
              <a16:creationId xmlns:a16="http://schemas.microsoft.com/office/drawing/2014/main" id="{1130D43C-444F-B893-B79E-3FE1B48DB4CF}"/>
            </a:ext>
          </a:extLst>
        </xdr:cNvPr>
        <xdr:cNvPicPr>
          <a:picLocks noChangeAspect="1"/>
        </xdr:cNvPicPr>
      </xdr:nvPicPr>
      <xdr:blipFill>
        <a:blip xmlns:r="http://schemas.openxmlformats.org/officeDocument/2006/relationships" r:embed="rId3"/>
        <a:stretch>
          <a:fillRect/>
        </a:stretch>
      </xdr:blipFill>
      <xdr:spPr>
        <a:xfrm>
          <a:off x="0" y="2654300"/>
          <a:ext cx="8064914" cy="425472"/>
        </a:xfrm>
        <a:prstGeom prst="rect">
          <a:avLst/>
        </a:prstGeom>
      </xdr:spPr>
    </xdr:pic>
    <xdr:clientData/>
  </xdr:twoCellAnchor>
  <xdr:twoCellAnchor>
    <xdr:from>
      <xdr:col>6</xdr:col>
      <xdr:colOff>203200</xdr:colOff>
      <xdr:row>14</xdr:row>
      <xdr:rowOff>146050</xdr:rowOff>
    </xdr:from>
    <xdr:to>
      <xdr:col>8</xdr:col>
      <xdr:colOff>565150</xdr:colOff>
      <xdr:row>16</xdr:row>
      <xdr:rowOff>133350</xdr:rowOff>
    </xdr:to>
    <xdr:sp macro="" textlink="">
      <xdr:nvSpPr>
        <xdr:cNvPr id="5" name="TextBox 4">
          <a:extLst>
            <a:ext uri="{FF2B5EF4-FFF2-40B4-BE49-F238E27FC236}">
              <a16:creationId xmlns:a16="http://schemas.microsoft.com/office/drawing/2014/main" id="{926470E9-7FBA-DCBA-06E8-C09628B2040C}"/>
            </a:ext>
          </a:extLst>
        </xdr:cNvPr>
        <xdr:cNvSpPr txBox="1"/>
      </xdr:nvSpPr>
      <xdr:spPr>
        <a:xfrm>
          <a:off x="3860800" y="2724150"/>
          <a:ext cx="1581150" cy="355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PD45</a:t>
          </a:r>
          <a:r>
            <a:rPr lang="en-US" sz="1100" baseline="0"/>
            <a:t>W design</a:t>
          </a:r>
          <a:endParaRPr lang="en-US" sz="1100"/>
        </a:p>
      </xdr:txBody>
    </xdr:sp>
    <xdr:clientData/>
  </xdr:twoCellAnchor>
  <xdr:twoCellAnchor editAs="oneCell">
    <xdr:from>
      <xdr:col>0</xdr:col>
      <xdr:colOff>0</xdr:colOff>
      <xdr:row>21</xdr:row>
      <xdr:rowOff>152400</xdr:rowOff>
    </xdr:from>
    <xdr:to>
      <xdr:col>11</xdr:col>
      <xdr:colOff>502750</xdr:colOff>
      <xdr:row>25</xdr:row>
      <xdr:rowOff>158750</xdr:rowOff>
    </xdr:to>
    <xdr:pic>
      <xdr:nvPicPr>
        <xdr:cNvPr id="8" name="Picture 7">
          <a:extLst>
            <a:ext uri="{FF2B5EF4-FFF2-40B4-BE49-F238E27FC236}">
              <a16:creationId xmlns:a16="http://schemas.microsoft.com/office/drawing/2014/main" id="{75C2FF8D-0CB7-1423-C3EA-8786D4521187}"/>
            </a:ext>
          </a:extLst>
        </xdr:cNvPr>
        <xdr:cNvPicPr>
          <a:picLocks noChangeAspect="1"/>
        </xdr:cNvPicPr>
      </xdr:nvPicPr>
      <xdr:blipFill rotWithShape="1">
        <a:blip xmlns:r="http://schemas.openxmlformats.org/officeDocument/2006/relationships" r:embed="rId4"/>
        <a:srcRect b="13333"/>
        <a:stretch>
          <a:fillRect/>
        </a:stretch>
      </xdr:blipFill>
      <xdr:spPr>
        <a:xfrm>
          <a:off x="0" y="4171950"/>
          <a:ext cx="7208350" cy="742950"/>
        </a:xfrm>
        <a:prstGeom prst="rect">
          <a:avLst/>
        </a:prstGeom>
      </xdr:spPr>
    </xdr:pic>
    <xdr:clientData/>
  </xdr:twoCellAnchor>
  <xdr:twoCellAnchor>
    <xdr:from>
      <xdr:col>6</xdr:col>
      <xdr:colOff>171450</xdr:colOff>
      <xdr:row>10</xdr:row>
      <xdr:rowOff>69850</xdr:rowOff>
    </xdr:from>
    <xdr:to>
      <xdr:col>8</xdr:col>
      <xdr:colOff>533400</xdr:colOff>
      <xdr:row>12</xdr:row>
      <xdr:rowOff>57150</xdr:rowOff>
    </xdr:to>
    <xdr:sp macro="" textlink="">
      <xdr:nvSpPr>
        <xdr:cNvPr id="9" name="TextBox 8">
          <a:extLst>
            <a:ext uri="{FF2B5EF4-FFF2-40B4-BE49-F238E27FC236}">
              <a16:creationId xmlns:a16="http://schemas.microsoft.com/office/drawing/2014/main" id="{5D7153D0-5374-4A9F-AB91-BDA1C0965FC2}"/>
            </a:ext>
          </a:extLst>
        </xdr:cNvPr>
        <xdr:cNvSpPr txBox="1"/>
      </xdr:nvSpPr>
      <xdr:spPr>
        <a:xfrm>
          <a:off x="3829050" y="2012950"/>
          <a:ext cx="1581150" cy="355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Aux power 67W</a:t>
          </a:r>
          <a:r>
            <a:rPr lang="en-US" sz="1100" baseline="0"/>
            <a:t> design</a:t>
          </a:r>
          <a:endParaRPr lang="en-US" sz="1100"/>
        </a:p>
      </xdr:txBody>
    </xdr:sp>
    <xdr:clientData/>
  </xdr:twoCellAnchor>
  <xdr:twoCellAnchor editAs="oneCell">
    <xdr:from>
      <xdr:col>0</xdr:col>
      <xdr:colOff>0</xdr:colOff>
      <xdr:row>44</xdr:row>
      <xdr:rowOff>184150</xdr:rowOff>
    </xdr:from>
    <xdr:to>
      <xdr:col>10</xdr:col>
      <xdr:colOff>25715</xdr:colOff>
      <xdr:row>50</xdr:row>
      <xdr:rowOff>82605</xdr:rowOff>
    </xdr:to>
    <xdr:pic>
      <xdr:nvPicPr>
        <xdr:cNvPr id="12" name="Picture 11">
          <a:extLst>
            <a:ext uri="{FF2B5EF4-FFF2-40B4-BE49-F238E27FC236}">
              <a16:creationId xmlns:a16="http://schemas.microsoft.com/office/drawing/2014/main" id="{4536A6F7-B8B8-9F9A-099E-22FAE707311A}"/>
            </a:ext>
          </a:extLst>
        </xdr:cNvPr>
        <xdr:cNvPicPr>
          <a:picLocks noChangeAspect="1"/>
        </xdr:cNvPicPr>
      </xdr:nvPicPr>
      <xdr:blipFill>
        <a:blip xmlns:r="http://schemas.openxmlformats.org/officeDocument/2006/relationships" r:embed="rId5"/>
        <a:stretch>
          <a:fillRect/>
        </a:stretch>
      </xdr:blipFill>
      <xdr:spPr>
        <a:xfrm>
          <a:off x="0" y="9658350"/>
          <a:ext cx="6121715" cy="1066855"/>
        </a:xfrm>
        <a:prstGeom prst="rect">
          <a:avLst/>
        </a:prstGeom>
      </xdr:spPr>
    </xdr:pic>
    <xdr:clientData/>
  </xdr:twoCellAnchor>
  <xdr:twoCellAnchor editAs="oneCell">
    <xdr:from>
      <xdr:col>0</xdr:col>
      <xdr:colOff>0</xdr:colOff>
      <xdr:row>56</xdr:row>
      <xdr:rowOff>127000</xdr:rowOff>
    </xdr:from>
    <xdr:to>
      <xdr:col>10</xdr:col>
      <xdr:colOff>25715</xdr:colOff>
      <xdr:row>65</xdr:row>
      <xdr:rowOff>31830</xdr:rowOff>
    </xdr:to>
    <xdr:pic>
      <xdr:nvPicPr>
        <xdr:cNvPr id="13" name="Picture 12">
          <a:extLst>
            <a:ext uri="{FF2B5EF4-FFF2-40B4-BE49-F238E27FC236}">
              <a16:creationId xmlns:a16="http://schemas.microsoft.com/office/drawing/2014/main" id="{4E196517-F84F-757E-EF8F-5CA3AFD65D0B}"/>
            </a:ext>
          </a:extLst>
        </xdr:cNvPr>
        <xdr:cNvPicPr>
          <a:picLocks noChangeAspect="1"/>
        </xdr:cNvPicPr>
      </xdr:nvPicPr>
      <xdr:blipFill>
        <a:blip xmlns:r="http://schemas.openxmlformats.org/officeDocument/2006/relationships" r:embed="rId6"/>
        <a:stretch>
          <a:fillRect/>
        </a:stretch>
      </xdr:blipFill>
      <xdr:spPr>
        <a:xfrm>
          <a:off x="0" y="11925300"/>
          <a:ext cx="6121715" cy="1562180"/>
        </a:xfrm>
        <a:prstGeom prst="rect">
          <a:avLst/>
        </a:prstGeom>
      </xdr:spPr>
    </xdr:pic>
    <xdr:clientData/>
  </xdr:twoCellAnchor>
  <xdr:twoCellAnchor editAs="oneCell">
    <xdr:from>
      <xdr:col>0</xdr:col>
      <xdr:colOff>0</xdr:colOff>
      <xdr:row>78</xdr:row>
      <xdr:rowOff>165100</xdr:rowOff>
    </xdr:from>
    <xdr:to>
      <xdr:col>9</xdr:col>
      <xdr:colOff>571811</xdr:colOff>
      <xdr:row>83</xdr:row>
      <xdr:rowOff>158797</xdr:rowOff>
    </xdr:to>
    <xdr:pic>
      <xdr:nvPicPr>
        <xdr:cNvPr id="15" name="Picture 14">
          <a:extLst>
            <a:ext uri="{FF2B5EF4-FFF2-40B4-BE49-F238E27FC236}">
              <a16:creationId xmlns:a16="http://schemas.microsoft.com/office/drawing/2014/main" id="{2FF64E2F-08FF-CBEB-039A-423BB78F2317}"/>
            </a:ext>
          </a:extLst>
        </xdr:cNvPr>
        <xdr:cNvPicPr>
          <a:picLocks noChangeAspect="1"/>
        </xdr:cNvPicPr>
      </xdr:nvPicPr>
      <xdr:blipFill>
        <a:blip xmlns:r="http://schemas.openxmlformats.org/officeDocument/2006/relationships" r:embed="rId7"/>
        <a:stretch>
          <a:fillRect/>
        </a:stretch>
      </xdr:blipFill>
      <xdr:spPr>
        <a:xfrm>
          <a:off x="0" y="16116300"/>
          <a:ext cx="6058211" cy="914447"/>
        </a:xfrm>
        <a:prstGeom prst="rect">
          <a:avLst/>
        </a:prstGeom>
      </xdr:spPr>
    </xdr:pic>
    <xdr:clientData/>
  </xdr:twoCellAnchor>
  <xdr:twoCellAnchor editAs="oneCell">
    <xdr:from>
      <xdr:col>11</xdr:col>
      <xdr:colOff>152401</xdr:colOff>
      <xdr:row>31</xdr:row>
      <xdr:rowOff>27520</xdr:rowOff>
    </xdr:from>
    <xdr:to>
      <xdr:col>17</xdr:col>
      <xdr:colOff>203201</xdr:colOff>
      <xdr:row>39</xdr:row>
      <xdr:rowOff>139795</xdr:rowOff>
    </xdr:to>
    <xdr:pic>
      <xdr:nvPicPr>
        <xdr:cNvPr id="11" name="Picture 10">
          <a:extLst>
            <a:ext uri="{FF2B5EF4-FFF2-40B4-BE49-F238E27FC236}">
              <a16:creationId xmlns:a16="http://schemas.microsoft.com/office/drawing/2014/main" id="{7CCA1508-D4ED-DBD0-70FD-7593472ACDE9}"/>
            </a:ext>
          </a:extLst>
        </xdr:cNvPr>
        <xdr:cNvPicPr>
          <a:picLocks noChangeAspect="1"/>
        </xdr:cNvPicPr>
      </xdr:nvPicPr>
      <xdr:blipFill>
        <a:blip xmlns:r="http://schemas.openxmlformats.org/officeDocument/2006/relationships" r:embed="rId8"/>
        <a:stretch>
          <a:fillRect/>
        </a:stretch>
      </xdr:blipFill>
      <xdr:spPr>
        <a:xfrm>
          <a:off x="6858001" y="5348820"/>
          <a:ext cx="3708400" cy="1585475"/>
        </a:xfrm>
        <a:prstGeom prst="rect">
          <a:avLst/>
        </a:prstGeom>
      </xdr:spPr>
    </xdr:pic>
    <xdr:clientData/>
  </xdr:twoCellAnchor>
  <xdr:twoCellAnchor>
    <xdr:from>
      <xdr:col>12</xdr:col>
      <xdr:colOff>349250</xdr:colOff>
      <xdr:row>40</xdr:row>
      <xdr:rowOff>44450</xdr:rowOff>
    </xdr:from>
    <xdr:to>
      <xdr:col>14</xdr:col>
      <xdr:colOff>438150</xdr:colOff>
      <xdr:row>41</xdr:row>
      <xdr:rowOff>95250</xdr:rowOff>
    </xdr:to>
    <xdr:sp macro="" textlink="">
      <xdr:nvSpPr>
        <xdr:cNvPr id="16" name="TextBox 15">
          <a:extLst>
            <a:ext uri="{FF2B5EF4-FFF2-40B4-BE49-F238E27FC236}">
              <a16:creationId xmlns:a16="http://schemas.microsoft.com/office/drawing/2014/main" id="{EA28676A-721A-17B1-9E17-792ADF886945}"/>
            </a:ext>
          </a:extLst>
        </xdr:cNvPr>
        <xdr:cNvSpPr txBox="1"/>
      </xdr:nvSpPr>
      <xdr:spPr>
        <a:xfrm>
          <a:off x="7664450" y="5721350"/>
          <a:ext cx="1308100" cy="2349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Curve of fsw vs Vo </a:t>
          </a:r>
        </a:p>
      </xdr:txBody>
    </xdr:sp>
    <xdr:clientData/>
  </xdr:twoCellAnchor>
  <xdr:twoCellAnchor>
    <xdr:from>
      <xdr:col>10</xdr:col>
      <xdr:colOff>247650</xdr:colOff>
      <xdr:row>33</xdr:row>
      <xdr:rowOff>127000</xdr:rowOff>
    </xdr:from>
    <xdr:to>
      <xdr:col>10</xdr:col>
      <xdr:colOff>482600</xdr:colOff>
      <xdr:row>34</xdr:row>
      <xdr:rowOff>107950</xdr:rowOff>
    </xdr:to>
    <xdr:sp macro="" textlink="">
      <xdr:nvSpPr>
        <xdr:cNvPr id="17" name="TextBox 16">
          <a:extLst>
            <a:ext uri="{FF2B5EF4-FFF2-40B4-BE49-F238E27FC236}">
              <a16:creationId xmlns:a16="http://schemas.microsoft.com/office/drawing/2014/main" id="{DF3DC671-30C9-809E-C0E4-10190471758C}"/>
            </a:ext>
          </a:extLst>
        </xdr:cNvPr>
        <xdr:cNvSpPr txBox="1"/>
      </xdr:nvSpPr>
      <xdr:spPr>
        <a:xfrm>
          <a:off x="6343650" y="4514850"/>
          <a:ext cx="234950" cy="165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12</xdr:col>
      <xdr:colOff>374650</xdr:colOff>
      <xdr:row>31</xdr:row>
      <xdr:rowOff>6350</xdr:rowOff>
    </xdr:from>
    <xdr:to>
      <xdr:col>13</xdr:col>
      <xdr:colOff>488950</xdr:colOff>
      <xdr:row>33</xdr:row>
      <xdr:rowOff>107950</xdr:rowOff>
    </xdr:to>
    <xdr:sp macro="" textlink="">
      <xdr:nvSpPr>
        <xdr:cNvPr id="18" name="Rectangle 17">
          <a:extLst>
            <a:ext uri="{FF2B5EF4-FFF2-40B4-BE49-F238E27FC236}">
              <a16:creationId xmlns:a16="http://schemas.microsoft.com/office/drawing/2014/main" id="{72F6990F-54F5-6644-A2A5-B03D0C20E6F4}"/>
            </a:ext>
          </a:extLst>
        </xdr:cNvPr>
        <xdr:cNvSpPr/>
      </xdr:nvSpPr>
      <xdr:spPr>
        <a:xfrm>
          <a:off x="7689850" y="4025900"/>
          <a:ext cx="723900" cy="4699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215900</xdr:colOff>
      <xdr:row>38</xdr:row>
      <xdr:rowOff>88900</xdr:rowOff>
    </xdr:from>
    <xdr:to>
      <xdr:col>10</xdr:col>
      <xdr:colOff>463550</xdr:colOff>
      <xdr:row>39</xdr:row>
      <xdr:rowOff>177800</xdr:rowOff>
    </xdr:to>
    <xdr:sp macro="" textlink="">
      <xdr:nvSpPr>
        <xdr:cNvPr id="19" name="TextBox 18">
          <a:extLst>
            <a:ext uri="{FF2B5EF4-FFF2-40B4-BE49-F238E27FC236}">
              <a16:creationId xmlns:a16="http://schemas.microsoft.com/office/drawing/2014/main" id="{B6E0CDFA-76F9-EBEA-DE7A-1EC85148DB54}"/>
            </a:ext>
          </a:extLst>
        </xdr:cNvPr>
        <xdr:cNvSpPr txBox="1"/>
      </xdr:nvSpPr>
      <xdr:spPr>
        <a:xfrm>
          <a:off x="6311900" y="5397500"/>
          <a:ext cx="247650" cy="2730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editAs="oneCell">
    <xdr:from>
      <xdr:col>0</xdr:col>
      <xdr:colOff>63500</xdr:colOff>
      <xdr:row>38</xdr:row>
      <xdr:rowOff>57150</xdr:rowOff>
    </xdr:from>
    <xdr:to>
      <xdr:col>8</xdr:col>
      <xdr:colOff>114557</xdr:colOff>
      <xdr:row>40</xdr:row>
      <xdr:rowOff>152399</xdr:rowOff>
    </xdr:to>
    <xdr:pic>
      <xdr:nvPicPr>
        <xdr:cNvPr id="21" name="Picture 20">
          <a:extLst>
            <a:ext uri="{FF2B5EF4-FFF2-40B4-BE49-F238E27FC236}">
              <a16:creationId xmlns:a16="http://schemas.microsoft.com/office/drawing/2014/main" id="{05B3AC7A-0174-E0D9-6909-619C4B3D1C9A}"/>
            </a:ext>
          </a:extLst>
        </xdr:cNvPr>
        <xdr:cNvPicPr>
          <a:picLocks noChangeAspect="1"/>
        </xdr:cNvPicPr>
      </xdr:nvPicPr>
      <xdr:blipFill rotWithShape="1">
        <a:blip xmlns:r="http://schemas.openxmlformats.org/officeDocument/2006/relationships" r:embed="rId9"/>
        <a:srcRect l="1398" r="-1" b="-14056"/>
        <a:stretch>
          <a:fillRect/>
        </a:stretch>
      </xdr:blipFill>
      <xdr:spPr>
        <a:xfrm>
          <a:off x="63500" y="8375650"/>
          <a:ext cx="4927857" cy="463549"/>
        </a:xfrm>
        <a:prstGeom prst="rect">
          <a:avLst/>
        </a:prstGeom>
      </xdr:spPr>
    </xdr:pic>
    <xdr:clientData/>
  </xdr:twoCellAnchor>
  <xdr:twoCellAnchor editAs="oneCell">
    <xdr:from>
      <xdr:col>0</xdr:col>
      <xdr:colOff>25400</xdr:colOff>
      <xdr:row>29</xdr:row>
      <xdr:rowOff>127000</xdr:rowOff>
    </xdr:from>
    <xdr:to>
      <xdr:col>10</xdr:col>
      <xdr:colOff>432134</xdr:colOff>
      <xdr:row>36</xdr:row>
      <xdr:rowOff>146126</xdr:rowOff>
    </xdr:to>
    <xdr:pic>
      <xdr:nvPicPr>
        <xdr:cNvPr id="23" name="Picture 22">
          <a:extLst>
            <a:ext uri="{FF2B5EF4-FFF2-40B4-BE49-F238E27FC236}">
              <a16:creationId xmlns:a16="http://schemas.microsoft.com/office/drawing/2014/main" id="{A4706E53-1508-F7B5-F7B7-C95B5DF3CC27}"/>
            </a:ext>
          </a:extLst>
        </xdr:cNvPr>
        <xdr:cNvPicPr>
          <a:picLocks noChangeAspect="1"/>
        </xdr:cNvPicPr>
      </xdr:nvPicPr>
      <xdr:blipFill>
        <a:blip xmlns:r="http://schemas.openxmlformats.org/officeDocument/2006/relationships" r:embed="rId10"/>
        <a:stretch>
          <a:fillRect/>
        </a:stretch>
      </xdr:blipFill>
      <xdr:spPr>
        <a:xfrm>
          <a:off x="25400" y="6623050"/>
          <a:ext cx="6502734" cy="1473276"/>
        </a:xfrm>
        <a:prstGeom prst="rect">
          <a:avLst/>
        </a:prstGeom>
      </xdr:spPr>
    </xdr:pic>
    <xdr:clientData/>
  </xdr:twoCellAnchor>
  <xdr:twoCellAnchor editAs="oneCell">
    <xdr:from>
      <xdr:col>0</xdr:col>
      <xdr:colOff>19050</xdr:colOff>
      <xdr:row>37</xdr:row>
      <xdr:rowOff>19050</xdr:rowOff>
    </xdr:from>
    <xdr:to>
      <xdr:col>10</xdr:col>
      <xdr:colOff>438485</xdr:colOff>
      <xdr:row>37</xdr:row>
      <xdr:rowOff>120655</xdr:rowOff>
    </xdr:to>
    <xdr:pic>
      <xdr:nvPicPr>
        <xdr:cNvPr id="24" name="Picture 23">
          <a:extLst>
            <a:ext uri="{FF2B5EF4-FFF2-40B4-BE49-F238E27FC236}">
              <a16:creationId xmlns:a16="http://schemas.microsoft.com/office/drawing/2014/main" id="{3936E793-CEED-B9B2-2DA1-D44A390AB798}"/>
            </a:ext>
          </a:extLst>
        </xdr:cNvPr>
        <xdr:cNvPicPr>
          <a:picLocks noChangeAspect="1"/>
        </xdr:cNvPicPr>
      </xdr:nvPicPr>
      <xdr:blipFill>
        <a:blip xmlns:r="http://schemas.openxmlformats.org/officeDocument/2006/relationships" r:embed="rId11"/>
        <a:stretch>
          <a:fillRect/>
        </a:stretch>
      </xdr:blipFill>
      <xdr:spPr>
        <a:xfrm>
          <a:off x="19050" y="8153400"/>
          <a:ext cx="6515435" cy="101605"/>
        </a:xfrm>
        <a:prstGeom prst="rect">
          <a:avLst/>
        </a:prstGeom>
      </xdr:spPr>
    </xdr:pic>
    <xdr:clientData/>
  </xdr:twoCellAnchor>
  <xdr:twoCellAnchor editAs="oneCell">
    <xdr:from>
      <xdr:col>0</xdr:col>
      <xdr:colOff>0</xdr:colOff>
      <xdr:row>69</xdr:row>
      <xdr:rowOff>127000</xdr:rowOff>
    </xdr:from>
    <xdr:to>
      <xdr:col>8</xdr:col>
      <xdr:colOff>51057</xdr:colOff>
      <xdr:row>72</xdr:row>
      <xdr:rowOff>38099</xdr:rowOff>
    </xdr:to>
    <xdr:pic>
      <xdr:nvPicPr>
        <xdr:cNvPr id="25" name="Picture 24">
          <a:extLst>
            <a:ext uri="{FF2B5EF4-FFF2-40B4-BE49-F238E27FC236}">
              <a16:creationId xmlns:a16="http://schemas.microsoft.com/office/drawing/2014/main" id="{1AFCF029-8AC2-4776-9F67-5619F9D7BBF5}"/>
            </a:ext>
          </a:extLst>
        </xdr:cNvPr>
        <xdr:cNvPicPr>
          <a:picLocks noChangeAspect="1"/>
        </xdr:cNvPicPr>
      </xdr:nvPicPr>
      <xdr:blipFill rotWithShape="1">
        <a:blip xmlns:r="http://schemas.openxmlformats.org/officeDocument/2006/relationships" r:embed="rId9"/>
        <a:srcRect l="1398" r="-1" b="-14056"/>
        <a:stretch>
          <a:fillRect/>
        </a:stretch>
      </xdr:blipFill>
      <xdr:spPr>
        <a:xfrm>
          <a:off x="0" y="14370050"/>
          <a:ext cx="4927857" cy="4635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80"/>
  <sheetViews>
    <sheetView tabSelected="1" zoomScale="55" zoomScaleNormal="55" workbookViewId="0">
      <selection activeCell="H16" sqref="H16:H17"/>
    </sheetView>
  </sheetViews>
  <sheetFormatPr defaultColWidth="8.08984375" defaultRowHeight="14"/>
  <cols>
    <col min="1" max="1" width="4.26953125" style="2" customWidth="1"/>
    <col min="2" max="3" width="9.7265625" style="2" customWidth="1"/>
    <col min="4" max="4" width="21.26953125" style="2" customWidth="1"/>
    <col min="5" max="5" width="35.54296875" style="2" customWidth="1"/>
    <col min="6" max="6" width="18.81640625" style="2" customWidth="1"/>
    <col min="7" max="7" width="6.1796875" style="2" customWidth="1"/>
    <col min="8" max="8" width="64" style="3" customWidth="1"/>
    <col min="9" max="9" width="9.81640625" style="2" customWidth="1"/>
    <col min="10" max="10" width="8.7265625" style="2" customWidth="1"/>
    <col min="11" max="11" width="9.7265625" style="2" customWidth="1"/>
    <col min="12" max="12" width="9.26953125" style="2" customWidth="1"/>
    <col min="13" max="13" width="8.90625" style="2" bestFit="1" customWidth="1"/>
    <col min="14" max="16" width="8.08984375" style="2"/>
    <col min="17" max="18" width="8.7265625" style="2" customWidth="1"/>
    <col min="19" max="20" width="8.08984375" style="2"/>
    <col min="21" max="21" width="9.6328125" style="2" customWidth="1"/>
    <col min="22" max="22" width="11.7265625" style="2" customWidth="1"/>
    <col min="23" max="23" width="8.6328125" style="2" bestFit="1" customWidth="1"/>
    <col min="24" max="16384" width="8.08984375" style="2"/>
  </cols>
  <sheetData>
    <row r="1" spans="2:22" ht="30" customHeight="1">
      <c r="B1" s="37" t="s">
        <v>140</v>
      </c>
      <c r="C1" s="37"/>
      <c r="D1" s="38"/>
      <c r="E1" s="38"/>
      <c r="F1" s="38"/>
      <c r="G1" s="38"/>
      <c r="H1" s="39"/>
      <c r="I1" s="38"/>
      <c r="O1" s="4"/>
    </row>
    <row r="2" spans="2:22" ht="15.5">
      <c r="B2" s="5" t="s">
        <v>0</v>
      </c>
      <c r="C2" s="1"/>
      <c r="D2" s="6" t="s">
        <v>1</v>
      </c>
      <c r="E2" s="4"/>
      <c r="H2" s="7"/>
      <c r="O2" s="4"/>
    </row>
    <row r="3" spans="2:22" ht="15.5">
      <c r="B3" s="87" t="s">
        <v>2</v>
      </c>
      <c r="C3" s="87"/>
      <c r="D3" s="87"/>
      <c r="E3" s="87"/>
      <c r="F3" s="87"/>
      <c r="G3" s="87"/>
      <c r="H3" s="87"/>
      <c r="I3" s="8"/>
      <c r="J3" s="8"/>
      <c r="K3" s="8"/>
      <c r="L3" s="8"/>
      <c r="M3" s="8"/>
      <c r="N3" s="8"/>
    </row>
    <row r="4" spans="2:22">
      <c r="B4" s="79" t="s">
        <v>137</v>
      </c>
      <c r="C4" s="79"/>
      <c r="D4" s="79"/>
      <c r="F4" s="41" t="s">
        <v>138</v>
      </c>
      <c r="H4" s="9"/>
      <c r="I4" s="4"/>
      <c r="J4" s="4"/>
      <c r="K4" s="4"/>
      <c r="M4" s="30"/>
      <c r="T4" s="10" t="s">
        <v>6</v>
      </c>
      <c r="U4" s="10" t="s">
        <v>7</v>
      </c>
    </row>
    <row r="5" spans="2:22">
      <c r="B5" s="79" t="s">
        <v>3</v>
      </c>
      <c r="C5" s="79"/>
      <c r="D5" s="79"/>
      <c r="E5" s="2" t="s">
        <v>4</v>
      </c>
      <c r="F5" s="12">
        <v>176</v>
      </c>
      <c r="G5" s="2" t="s">
        <v>5</v>
      </c>
      <c r="H5" s="9"/>
      <c r="I5" s="4"/>
      <c r="J5" s="4"/>
      <c r="K5" s="4"/>
      <c r="M5" s="30"/>
      <c r="T5" s="10" t="s">
        <v>6</v>
      </c>
      <c r="U5" s="10" t="s">
        <v>7</v>
      </c>
    </row>
    <row r="6" spans="2:22">
      <c r="B6" s="79" t="s">
        <v>8</v>
      </c>
      <c r="C6" s="79"/>
      <c r="D6" s="79"/>
      <c r="E6" s="2" t="s">
        <v>9</v>
      </c>
      <c r="F6" s="12">
        <v>276</v>
      </c>
      <c r="G6" s="2" t="s">
        <v>5</v>
      </c>
      <c r="H6" s="9"/>
      <c r="I6" s="4"/>
      <c r="J6" s="4"/>
      <c r="K6" s="4"/>
      <c r="T6" s="11">
        <f>F11*F12</f>
        <v>51.800000000000004</v>
      </c>
      <c r="U6" s="11">
        <f>F11</f>
        <v>14</v>
      </c>
    </row>
    <row r="7" spans="2:22">
      <c r="B7" s="79" t="s">
        <v>10</v>
      </c>
      <c r="C7" s="79"/>
      <c r="D7" s="79"/>
      <c r="E7" s="2" t="s">
        <v>11</v>
      </c>
      <c r="F7" s="12">
        <v>50</v>
      </c>
      <c r="G7" s="2" t="s">
        <v>12</v>
      </c>
      <c r="H7" s="9"/>
      <c r="I7" s="4"/>
      <c r="J7" s="4"/>
      <c r="K7" s="4"/>
      <c r="L7" s="42"/>
      <c r="T7" s="11" t="e">
        <f>I11*I12</f>
        <v>#VALUE!</v>
      </c>
      <c r="U7" s="11" t="str">
        <f>I11</f>
        <v>Vo2</v>
      </c>
    </row>
    <row r="8" spans="2:22">
      <c r="B8" s="79" t="s">
        <v>13</v>
      </c>
      <c r="C8" s="79"/>
      <c r="D8" s="79"/>
      <c r="E8" s="2" t="s">
        <v>14</v>
      </c>
      <c r="F8" s="12">
        <v>220</v>
      </c>
      <c r="G8" s="2" t="s">
        <v>15</v>
      </c>
      <c r="H8" s="57" t="s">
        <v>188</v>
      </c>
      <c r="I8" s="4"/>
      <c r="J8" s="4"/>
      <c r="K8" s="4"/>
      <c r="O8" s="36"/>
      <c r="P8" s="36"/>
      <c r="Q8" s="36"/>
      <c r="R8" s="36"/>
      <c r="S8" s="36"/>
      <c r="T8" s="36"/>
      <c r="U8" s="36"/>
      <c r="V8" s="36"/>
    </row>
    <row r="9" spans="2:22">
      <c r="B9" s="79" t="s">
        <v>16</v>
      </c>
      <c r="C9" s="79"/>
      <c r="D9" s="79"/>
      <c r="E9" s="2" t="s">
        <v>17</v>
      </c>
      <c r="F9" s="19">
        <f>F6*SQRT(2)</f>
        <v>390.32294321497426</v>
      </c>
      <c r="G9" s="2" t="s">
        <v>15</v>
      </c>
      <c r="H9" s="9"/>
      <c r="I9" s="4"/>
      <c r="J9" s="4"/>
      <c r="K9" s="4"/>
      <c r="O9" s="36"/>
      <c r="P9" s="36"/>
      <c r="Q9" s="36"/>
      <c r="R9" s="36"/>
      <c r="S9" s="36"/>
      <c r="T9" s="36"/>
      <c r="U9" s="11">
        <f>M11</f>
        <v>16</v>
      </c>
    </row>
    <row r="10" spans="2:22" ht="16" customHeight="1">
      <c r="B10" s="79" t="s">
        <v>128</v>
      </c>
      <c r="C10" s="79"/>
      <c r="D10" s="79"/>
      <c r="E10" s="55"/>
      <c r="F10" s="41" t="s">
        <v>133</v>
      </c>
      <c r="H10" s="64"/>
      <c r="I10" s="55"/>
      <c r="J10" s="63"/>
      <c r="N10" s="36"/>
      <c r="T10" s="10" t="s">
        <v>19</v>
      </c>
      <c r="U10" s="11" t="e">
        <f>VLOOKUP(F15,T2:U6,2,0)</f>
        <v>#N/A</v>
      </c>
    </row>
    <row r="11" spans="2:22" ht="27.5" customHeight="1">
      <c r="B11" s="79" t="s">
        <v>211</v>
      </c>
      <c r="C11" s="79"/>
      <c r="D11" s="79"/>
      <c r="E11" s="48" t="s">
        <v>213</v>
      </c>
      <c r="F11" s="12">
        <v>14</v>
      </c>
      <c r="G11" s="2" t="s">
        <v>15</v>
      </c>
      <c r="H11" s="64"/>
      <c r="I11" s="55" t="s">
        <v>129</v>
      </c>
      <c r="J11" s="13">
        <v>15</v>
      </c>
      <c r="K11" s="2" t="s">
        <v>18</v>
      </c>
      <c r="L11" s="55" t="s">
        <v>134</v>
      </c>
      <c r="M11" s="13">
        <v>16</v>
      </c>
      <c r="N11" s="2" t="s">
        <v>18</v>
      </c>
      <c r="T11" s="10" t="s">
        <v>19</v>
      </c>
      <c r="U11" s="11" t="e">
        <f>VLOOKUP(F20,T6:U9,2,0)</f>
        <v>#N/A</v>
      </c>
    </row>
    <row r="12" spans="2:22">
      <c r="B12" s="79" t="s">
        <v>20</v>
      </c>
      <c r="C12" s="79"/>
      <c r="D12" s="79"/>
      <c r="E12" s="55" t="s">
        <v>212</v>
      </c>
      <c r="F12" s="12">
        <v>3.7</v>
      </c>
      <c r="G12" s="2" t="s">
        <v>21</v>
      </c>
      <c r="H12" s="65"/>
      <c r="I12" s="55" t="s">
        <v>130</v>
      </c>
      <c r="J12" s="13">
        <v>0.9</v>
      </c>
      <c r="K12" s="2" t="s">
        <v>22</v>
      </c>
      <c r="L12" s="55" t="s">
        <v>135</v>
      </c>
      <c r="M12" s="13">
        <v>0.1</v>
      </c>
      <c r="N12" s="2" t="s">
        <v>22</v>
      </c>
    </row>
    <row r="13" spans="2:22">
      <c r="B13" s="88" t="s">
        <v>181</v>
      </c>
      <c r="C13" s="88"/>
      <c r="D13" s="88"/>
      <c r="F13" s="41" t="s">
        <v>184</v>
      </c>
      <c r="H13" s="58" t="s">
        <v>180</v>
      </c>
      <c r="J13" s="17"/>
      <c r="K13" s="17"/>
      <c r="N13" s="36"/>
      <c r="O13" s="36"/>
      <c r="P13" s="36"/>
      <c r="Q13" s="36"/>
      <c r="R13" s="36"/>
      <c r="S13" s="36"/>
      <c r="T13" s="36"/>
      <c r="U13" s="11"/>
    </row>
    <row r="14" spans="2:22">
      <c r="B14" s="88" t="s">
        <v>23</v>
      </c>
      <c r="C14" s="88"/>
      <c r="D14" s="88"/>
      <c r="F14" s="41">
        <v>20</v>
      </c>
      <c r="G14" s="2" t="s">
        <v>15</v>
      </c>
      <c r="H14" s="58" t="s">
        <v>180</v>
      </c>
      <c r="J14" s="17"/>
      <c r="K14" s="17"/>
      <c r="N14" s="36"/>
      <c r="O14" s="36"/>
      <c r="P14" s="36"/>
      <c r="Q14" s="36"/>
      <c r="R14" s="36"/>
      <c r="S14" s="36"/>
      <c r="T14" s="36"/>
      <c r="U14" s="11"/>
    </row>
    <row r="15" spans="2:22" ht="33.5" customHeight="1">
      <c r="B15" s="88" t="s">
        <v>24</v>
      </c>
      <c r="C15" s="88"/>
      <c r="D15" s="88"/>
      <c r="F15" s="41" t="s">
        <v>136</v>
      </c>
      <c r="H15" s="57" t="s">
        <v>182</v>
      </c>
      <c r="J15" s="17"/>
      <c r="K15" s="17"/>
      <c r="N15" s="36"/>
      <c r="O15" s="36"/>
      <c r="P15" s="36"/>
      <c r="Q15" s="36"/>
      <c r="R15" s="36"/>
      <c r="S15" s="36"/>
      <c r="T15" s="36"/>
      <c r="U15" s="11"/>
    </row>
    <row r="16" spans="2:22">
      <c r="B16" s="17" t="s">
        <v>25</v>
      </c>
      <c r="C16" s="17"/>
      <c r="D16" s="17"/>
      <c r="E16" s="50" t="str">
        <f>IF(F15="DCM"," please ignore the yellow blank→"," ")</f>
        <v xml:space="preserve"> please ignore the yellow blank→</v>
      </c>
      <c r="F16" s="12">
        <v>70</v>
      </c>
      <c r="G16" s="2" t="s">
        <v>26</v>
      </c>
      <c r="H16" s="89" t="s">
        <v>224</v>
      </c>
      <c r="I16" s="17"/>
      <c r="J16" s="17"/>
      <c r="K16" s="17"/>
      <c r="O16" s="36"/>
      <c r="P16" s="36"/>
      <c r="Q16" s="36"/>
      <c r="R16" s="36"/>
      <c r="S16" s="36"/>
      <c r="T16" s="36"/>
      <c r="U16" s="11"/>
    </row>
    <row r="17" spans="2:21">
      <c r="B17" s="88" t="s">
        <v>27</v>
      </c>
      <c r="C17" s="88"/>
      <c r="D17" s="88"/>
      <c r="F17" s="12">
        <v>70</v>
      </c>
      <c r="G17" s="2" t="s">
        <v>26</v>
      </c>
      <c r="H17" s="89"/>
      <c r="I17" s="17"/>
      <c r="J17" s="17"/>
      <c r="K17" s="17"/>
      <c r="O17" s="36"/>
      <c r="P17" s="36"/>
      <c r="Q17" s="36"/>
      <c r="R17" s="36"/>
      <c r="S17" s="36"/>
      <c r="T17" s="36"/>
      <c r="U17" s="11"/>
    </row>
    <row r="18" spans="2:21" ht="50" customHeight="1">
      <c r="B18" s="79" t="s">
        <v>207</v>
      </c>
      <c r="C18" s="79"/>
      <c r="D18" s="79"/>
      <c r="E18" s="55" t="s">
        <v>183</v>
      </c>
      <c r="F18" s="12">
        <v>18.5</v>
      </c>
      <c r="G18" s="2" t="s">
        <v>142</v>
      </c>
      <c r="H18" s="57" t="s">
        <v>218</v>
      </c>
      <c r="I18" s="55"/>
      <c r="J18" s="70"/>
      <c r="L18" s="55"/>
      <c r="M18" s="70"/>
    </row>
    <row r="19" spans="2:21">
      <c r="B19" s="79" t="s">
        <v>208</v>
      </c>
      <c r="C19" s="79"/>
      <c r="D19" s="79"/>
      <c r="E19" s="55" t="s">
        <v>209</v>
      </c>
      <c r="F19" s="19">
        <f>IF(F15="DCM",LLDCM!B53,LLCCM!B53)</f>
        <v>67.35294117647058</v>
      </c>
      <c r="G19" s="2" t="s">
        <v>210</v>
      </c>
      <c r="H19" s="57" t="s">
        <v>223</v>
      </c>
      <c r="I19" s="55"/>
      <c r="J19" s="70"/>
      <c r="L19" s="55"/>
      <c r="M19" s="70"/>
    </row>
    <row r="20" spans="2:21">
      <c r="B20" s="79" t="s">
        <v>28</v>
      </c>
      <c r="C20" s="79"/>
      <c r="D20" s="79"/>
      <c r="E20" s="2" t="s">
        <v>29</v>
      </c>
      <c r="F20" s="19">
        <f>IF(F10="rapid charger",MAX(F11*F12,J11*J12),SUM(F12*F11,J12*J11,M11*M12))</f>
        <v>66.900000000000006</v>
      </c>
      <c r="G20" s="2" t="s">
        <v>30</v>
      </c>
      <c r="H20" s="57" t="s">
        <v>122</v>
      </c>
      <c r="I20" s="14" t="s">
        <v>31</v>
      </c>
      <c r="J20" s="11"/>
      <c r="K20" s="11"/>
      <c r="L20" s="11"/>
      <c r="M20" s="11"/>
      <c r="N20" s="11"/>
    </row>
    <row r="21" spans="2:21" ht="15.65" customHeight="1">
      <c r="B21" s="79" t="s">
        <v>32</v>
      </c>
      <c r="C21" s="79"/>
      <c r="D21" s="79"/>
      <c r="E21" s="2" t="s">
        <v>33</v>
      </c>
      <c r="F21" s="12">
        <v>92</v>
      </c>
      <c r="G21" s="2" t="s">
        <v>34</v>
      </c>
      <c r="H21" s="15"/>
    </row>
    <row r="22" spans="2:21" ht="14.15" customHeight="1">
      <c r="B22" s="79" t="s">
        <v>35</v>
      </c>
      <c r="C22" s="79"/>
      <c r="D22" s="79"/>
      <c r="E22" s="2" t="s">
        <v>6</v>
      </c>
      <c r="F22" s="19">
        <f>F20/F21*100</f>
        <v>72.717391304347828</v>
      </c>
      <c r="G22" s="2" t="s">
        <v>30</v>
      </c>
      <c r="H22" s="9"/>
    </row>
    <row r="23" spans="2:21">
      <c r="B23" s="79" t="s">
        <v>36</v>
      </c>
      <c r="C23" s="79"/>
      <c r="D23" s="79"/>
      <c r="E23" s="2" t="s">
        <v>37</v>
      </c>
      <c r="F23" s="19">
        <f>((2*F22*(1/4+0.5/PI()*ASIN((F8+2)/1.414/F5)))/((2*F5^2-(F8+2)^2)*F7))*1000000</f>
        <v>97.668587807349908</v>
      </c>
      <c r="G23" s="2" t="s">
        <v>38</v>
      </c>
      <c r="H23" s="16"/>
      <c r="I23" s="17"/>
      <c r="K23" s="17"/>
    </row>
    <row r="25" spans="2:21" ht="15.5">
      <c r="B25" s="81" t="s">
        <v>39</v>
      </c>
      <c r="C25" s="81"/>
      <c r="D25" s="81"/>
      <c r="E25" s="81"/>
      <c r="F25" s="81"/>
      <c r="G25" s="81"/>
      <c r="H25" s="81"/>
    </row>
    <row r="26" spans="2:21">
      <c r="B26" s="79" t="s">
        <v>40</v>
      </c>
      <c r="C26" s="79"/>
      <c r="D26" s="79"/>
      <c r="E26" s="2" t="s">
        <v>41</v>
      </c>
      <c r="F26" s="12">
        <v>42</v>
      </c>
      <c r="G26" s="2" t="s">
        <v>42</v>
      </c>
      <c r="H26" s="9"/>
    </row>
    <row r="27" spans="2:21" ht="40.5" customHeight="1">
      <c r="B27" s="79" t="s">
        <v>43</v>
      </c>
      <c r="C27" s="79"/>
      <c r="D27" s="79"/>
      <c r="E27" s="2" t="s">
        <v>44</v>
      </c>
      <c r="F27" s="12">
        <v>6</v>
      </c>
      <c r="G27" s="2" t="s">
        <v>42</v>
      </c>
      <c r="H27" s="57" t="s">
        <v>202</v>
      </c>
    </row>
    <row r="28" spans="2:21" ht="38">
      <c r="B28" s="79" t="s">
        <v>214</v>
      </c>
      <c r="C28" s="79"/>
      <c r="D28" s="79"/>
      <c r="E28" s="2" t="s">
        <v>45</v>
      </c>
      <c r="F28" s="77">
        <v>6.8</v>
      </c>
      <c r="G28" s="2" t="s">
        <v>42</v>
      </c>
      <c r="H28" s="57" t="s">
        <v>203</v>
      </c>
      <c r="I28" s="18"/>
    </row>
    <row r="29" spans="2:21">
      <c r="B29" s="80" t="s">
        <v>46</v>
      </c>
      <c r="C29" s="80"/>
      <c r="D29" s="80"/>
      <c r="E29" s="2" t="s">
        <v>47</v>
      </c>
      <c r="F29" s="19">
        <f>F26/F27</f>
        <v>7</v>
      </c>
      <c r="H29" s="66"/>
    </row>
    <row r="30" spans="2:21">
      <c r="B30" s="80"/>
      <c r="C30" s="80"/>
      <c r="D30" s="80"/>
      <c r="E30" s="2" t="s">
        <v>144</v>
      </c>
      <c r="F30" s="19">
        <f>F29*F11</f>
        <v>98</v>
      </c>
      <c r="H30" s="57" t="s">
        <v>145</v>
      </c>
    </row>
    <row r="31" spans="2:21" ht="14.5" customHeight="1">
      <c r="B31" s="80"/>
      <c r="C31" s="80"/>
      <c r="D31" s="80"/>
      <c r="E31" s="2" t="s">
        <v>195</v>
      </c>
      <c r="F31" s="19">
        <f>F26/F28</f>
        <v>6.1764705882352944</v>
      </c>
      <c r="H31" s="51"/>
    </row>
    <row r="32" spans="2:21" ht="14.5" customHeight="1">
      <c r="B32" s="80"/>
      <c r="C32" s="80"/>
      <c r="D32" s="80"/>
      <c r="E32" s="2" t="s">
        <v>196</v>
      </c>
      <c r="F32" s="19">
        <f>F28/F27</f>
        <v>1.1333333333333333</v>
      </c>
      <c r="H32" s="51"/>
    </row>
    <row r="33" spans="2:17" ht="13.75" customHeight="1">
      <c r="B33" s="79" t="s">
        <v>48</v>
      </c>
      <c r="C33" s="79"/>
      <c r="D33" s="79"/>
      <c r="E33" s="2" t="s">
        <v>49</v>
      </c>
      <c r="F33" s="20">
        <f>F9+F29*F11+100</f>
        <v>588.3229432149742</v>
      </c>
      <c r="G33" s="2" t="s">
        <v>15</v>
      </c>
      <c r="H33" s="57" t="s">
        <v>50</v>
      </c>
    </row>
    <row r="34" spans="2:17" ht="13.75" hidden="1" customHeight="1">
      <c r="B34" s="79" t="s">
        <v>124</v>
      </c>
      <c r="C34" s="79"/>
      <c r="D34" s="79"/>
      <c r="E34" s="2" t="s">
        <v>125</v>
      </c>
      <c r="F34" s="20">
        <f>(MAX(F11,J11)+F9/F32)*1.05</f>
        <v>377.37272680210856</v>
      </c>
      <c r="G34" s="2" t="s">
        <v>15</v>
      </c>
      <c r="H34" s="57" t="s">
        <v>50</v>
      </c>
    </row>
    <row r="35" spans="2:17">
      <c r="B35" s="79" t="s">
        <v>51</v>
      </c>
      <c r="C35" s="79"/>
      <c r="D35" s="79"/>
      <c r="E35" s="2" t="s">
        <v>52</v>
      </c>
      <c r="F35" s="20">
        <f>(F11+F9/F29)*110%</f>
        <v>76.736462505210255</v>
      </c>
      <c r="G35" s="2" t="s">
        <v>15</v>
      </c>
      <c r="H35" s="57" t="s">
        <v>146</v>
      </c>
      <c r="M35" s="21"/>
    </row>
    <row r="36" spans="2:17">
      <c r="B36" s="79" t="s">
        <v>53</v>
      </c>
      <c r="C36" s="79"/>
      <c r="D36" s="79"/>
      <c r="E36" s="2" t="str">
        <f>"Dmax_"&amp;F11&amp;"V"</f>
        <v>Dmax_14V</v>
      </c>
      <c r="F36" s="22">
        <f>F29*F11/(F29*F11+F8)</f>
        <v>0.3081761006289308</v>
      </c>
      <c r="H36" s="16"/>
    </row>
    <row r="37" spans="2:17">
      <c r="B37" s="79" t="s">
        <v>53</v>
      </c>
      <c r="C37" s="79"/>
      <c r="D37" s="79"/>
      <c r="E37" s="2" t="str">
        <f>"Dmax_"&amp;J11&amp;"V"</f>
        <v>Dmax_15V</v>
      </c>
      <c r="F37" s="22" t="str">
        <f>IF(F10="Rapid charger",F29*J11/(F29*J11+F8)," ")</f>
        <v xml:space="preserve"> </v>
      </c>
      <c r="H37" s="16"/>
    </row>
    <row r="38" spans="2:17" ht="14.15" customHeight="1">
      <c r="B38" s="80" t="s">
        <v>54</v>
      </c>
      <c r="C38" s="80"/>
      <c r="D38" s="80"/>
      <c r="E38" s="2" t="s">
        <v>55</v>
      </c>
      <c r="F38" s="19">
        <f>F8^2*F36^2/(2*F11*F22/F11*100/F21*LLCCM!$B$53)</f>
        <v>0.42614141780167519</v>
      </c>
      <c r="G38" s="2" t="s">
        <v>56</v>
      </c>
      <c r="H38" s="82" t="str">
        <f>"F12=CCM: Lm &gt; Lm_judge1 means "&amp;F11&amp;"V fullload is CCM, otherwise DCM"</f>
        <v>F12=CCM: Lm &gt; Lm_judge1 means 14V fullload is CCM, otherwise DCM</v>
      </c>
      <c r="I38" s="82"/>
      <c r="J38" s="82"/>
      <c r="K38" s="82"/>
      <c r="L38" s="82"/>
      <c r="M38" s="57"/>
      <c r="N38" s="57"/>
      <c r="O38" s="57"/>
    </row>
    <row r="39" spans="2:17" ht="14.15" customHeight="1">
      <c r="B39" s="80"/>
      <c r="C39" s="80"/>
      <c r="D39" s="80"/>
      <c r="E39" s="2" t="s">
        <v>57</v>
      </c>
      <c r="F39" s="19" t="str">
        <f>IF(F10="Rapid charger",F8^2*F37^2/(2*J11*(J11*J12/F21*100)/J11*100/F21*LLCCM!$M$53)," ")</f>
        <v xml:space="preserve"> </v>
      </c>
      <c r="G39" s="2" t="s">
        <v>56</v>
      </c>
      <c r="H39" s="82" t="str">
        <f>"F12=CCM: Lm &gt; Lm_judge2 means "&amp;J11&amp;"V fullload is CCM, otherwise DCM"</f>
        <v>F12=CCM: Lm &gt; Lm_judge2 means 15V fullload is CCM, otherwise DCM</v>
      </c>
      <c r="I39" s="82"/>
      <c r="J39" s="82"/>
      <c r="K39" s="82"/>
      <c r="L39" s="82"/>
      <c r="M39" s="57"/>
      <c r="N39" s="57"/>
      <c r="O39" s="57"/>
      <c r="P39" s="57"/>
      <c r="Q39" s="57"/>
    </row>
    <row r="40" spans="2:17" ht="14" customHeight="1">
      <c r="B40" s="80" t="s">
        <v>58</v>
      </c>
      <c r="C40" s="80"/>
      <c r="D40" s="80"/>
      <c r="E40" s="2" t="s">
        <v>59</v>
      </c>
      <c r="F40" s="19">
        <f>F8^2*F36^2/(2*F11*F22/F11*100/F21*LLDCM!$B$53)</f>
        <v>0.43172405646283252</v>
      </c>
      <c r="G40" s="2" t="s">
        <v>56</v>
      </c>
      <c r="H40" s="82" t="str">
        <f>"F12=DCM: Lm &gt; Lm_judge3 means "&amp;F11&amp;"V fullload is CDCM, otherwise DCM"</f>
        <v>F12=DCM: Lm &gt; Lm_judge3 means 14V fullload is CDCM, otherwise DCM</v>
      </c>
      <c r="I40" s="82"/>
      <c r="J40" s="82"/>
      <c r="K40" s="82"/>
      <c r="L40" s="82"/>
      <c r="M40" s="58"/>
      <c r="N40" s="57"/>
      <c r="O40" s="57"/>
    </row>
    <row r="41" spans="2:17" ht="14.15" customHeight="1">
      <c r="B41" s="80"/>
      <c r="C41" s="80"/>
      <c r="D41" s="80"/>
      <c r="E41" s="2" t="s">
        <v>60</v>
      </c>
      <c r="F41" s="19" t="str">
        <f>IF(F10="Rapid charger",F8^2*F37^2/(2*J11*(J11*J12/F21*100)/J11*100/F21*LLDCM!$M$53)," ")</f>
        <v xml:space="preserve"> </v>
      </c>
      <c r="G41" s="2" t="s">
        <v>56</v>
      </c>
      <c r="H41" s="82" t="str">
        <f>"F12=DCM: Lm &gt; Lm_judge4 means "&amp;J11&amp;"V fullload is CDCM, otherwise DCM"</f>
        <v>F12=DCM: Lm &gt; Lm_judge4 means 15V fullload is CDCM, otherwise DCM</v>
      </c>
      <c r="I41" s="82"/>
      <c r="J41" s="82"/>
      <c r="K41" s="82"/>
      <c r="L41" s="82"/>
      <c r="M41" s="57"/>
      <c r="N41" s="57"/>
      <c r="O41" s="57"/>
      <c r="P41" s="57"/>
      <c r="Q41" s="57"/>
    </row>
    <row r="42" spans="2:17" ht="14.15" customHeight="1">
      <c r="B42" s="80" t="s">
        <v>61</v>
      </c>
      <c r="C42" s="80"/>
      <c r="D42" s="80"/>
      <c r="E42" s="2" t="s">
        <v>62</v>
      </c>
      <c r="F42" s="25">
        <v>0.432</v>
      </c>
      <c r="G42" s="2" t="s">
        <v>56</v>
      </c>
      <c r="H42" s="50" t="str">
        <f>IF(AND(F15="CCM",F42&lt;MIN(F38,F39)),"Error, increase Lm please!"," ")</f>
        <v xml:space="preserve"> </v>
      </c>
      <c r="I42" s="55"/>
      <c r="J42" s="55"/>
      <c r="K42" s="55"/>
    </row>
    <row r="43" spans="2:17" ht="14.15" customHeight="1">
      <c r="B43" s="80" t="s">
        <v>131</v>
      </c>
      <c r="C43" s="80"/>
      <c r="D43" s="80"/>
      <c r="E43" s="2" t="s">
        <v>132</v>
      </c>
      <c r="F43" s="62">
        <v>1600</v>
      </c>
      <c r="G43" s="2" t="s">
        <v>126</v>
      </c>
      <c r="H43" s="82" t="s">
        <v>123</v>
      </c>
      <c r="I43" s="82"/>
      <c r="J43" s="82"/>
      <c r="K43" s="82"/>
      <c r="L43" s="82"/>
    </row>
    <row r="44" spans="2:17" ht="14" customHeight="1">
      <c r="B44" s="80" t="s">
        <v>63</v>
      </c>
      <c r="C44" s="80"/>
      <c r="D44" s="80"/>
      <c r="E44" s="2" t="str">
        <f>F11&amp;"V LL fullload"</f>
        <v>14V LL fullload</v>
      </c>
      <c r="F44" s="19">
        <f>IF(AND(F15="CCM",F42&gt;F38),100*(1-2/(1+200*F11*F22/F11/F21*F48*F42/F8^2/F36^2)),0)</f>
        <v>0</v>
      </c>
      <c r="G44" s="2" t="s">
        <v>64</v>
      </c>
      <c r="H44" s="50"/>
      <c r="I44" s="48"/>
      <c r="J44" s="48"/>
      <c r="K44" s="48"/>
    </row>
    <row r="45" spans="2:17" ht="14.15" customHeight="1">
      <c r="B45" s="80"/>
      <c r="C45" s="80"/>
      <c r="D45" s="80"/>
      <c r="E45" s="2" t="str">
        <f>J11&amp;"V LL fullload"</f>
        <v>15V LL fullload</v>
      </c>
      <c r="F45" s="19" t="str">
        <f>IF(F10="Rapid charger",IF(AND(F15="CCM",F42&gt;F39),100*(1-2/(1+200*J11*J12/F21*F48*F42/F8^2/F37^2)),0)," ")</f>
        <v xml:space="preserve"> </v>
      </c>
      <c r="G45" s="2" t="s">
        <v>64</v>
      </c>
      <c r="H45" s="50"/>
      <c r="I45" s="48"/>
      <c r="J45" s="48"/>
      <c r="K45" s="48"/>
    </row>
    <row r="46" spans="2:17" ht="14" customHeight="1">
      <c r="B46" s="80" t="s">
        <v>127</v>
      </c>
      <c r="C46" s="80"/>
      <c r="D46" s="80"/>
      <c r="E46" s="2" t="str">
        <f>F11&amp;"V LL fullload"</f>
        <v>14V LL fullload</v>
      </c>
      <c r="F46" s="19">
        <f>IF(F15="DCM",IF(F42&gt;F40,F43/2/1000,MAX(F43/2/1000,(1-SQRT(2*100*F11*F12/F21*F42*F48)/F8/F36)*1000/F48)),IF(AND(F15="CCM",F42&gt;F38),0,(1-SQRT(2*100*F11*F12/F21*F42*F48)/F8/F36)*1000/F48))</f>
        <v>0.8</v>
      </c>
      <c r="G46" s="2" t="s">
        <v>65</v>
      </c>
      <c r="H46" s="56"/>
      <c r="I46" s="11">
        <f>F46*1000-F43</f>
        <v>-800</v>
      </c>
    </row>
    <row r="47" spans="2:17" ht="13" customHeight="1">
      <c r="B47" s="80"/>
      <c r="C47" s="80"/>
      <c r="D47" s="80"/>
      <c r="E47" s="2" t="str">
        <f>J11&amp;"V LL fullload"</f>
        <v>15V LL fullload</v>
      </c>
      <c r="F47" s="19" t="str">
        <f>IF(F10="Rapid charger",IF(F15="DCM",IF(F42&gt;F40,F43/1000,MAX(F43/1000,(1-SQRT(2*100*J11*J12/F21*F42*F48)/F8/F36)*1000/F48)),IF(AND(F15="CCM",F42&gt;F38),0,(1-SQRT(2*100*J11*J12/F21*F42*F48)/F8/F36)*1000/F48))," ")</f>
        <v xml:space="preserve"> </v>
      </c>
      <c r="G47" s="2" t="s">
        <v>65</v>
      </c>
      <c r="H47" s="56"/>
    </row>
    <row r="48" spans="2:17" ht="31" customHeight="1">
      <c r="B48" s="80" t="s">
        <v>66</v>
      </c>
      <c r="C48" s="80"/>
      <c r="D48" s="80"/>
      <c r="E48" s="2" t="str">
        <f>F11&amp;"V LL fullload"</f>
        <v>14V LL fullload</v>
      </c>
      <c r="F48" s="19">
        <f>IF(F15="CCM",LLCCM!$B$53,IF(F42&gt;F40,F8^2*F36^2/(2*F42*100*F11*F22/F11/F21)-1000/F43,LLDCM!$G$53))</f>
        <v>66.684918933815808</v>
      </c>
      <c r="G48" s="2" t="s">
        <v>26</v>
      </c>
      <c r="H48" s="59" t="s">
        <v>143</v>
      </c>
      <c r="I48" s="47"/>
      <c r="J48" s="47"/>
      <c r="K48" s="47"/>
    </row>
    <row r="49" spans="2:11" ht="14" customHeight="1">
      <c r="B49" s="80"/>
      <c r="C49" s="80"/>
      <c r="D49" s="80"/>
      <c r="E49" s="2" t="str">
        <f>J11&amp;"V LL fullload"</f>
        <v>15V LL fullload</v>
      </c>
      <c r="F49" s="19" t="str">
        <f>IF(F10="Rapid charger",IF(F15="CCM",LLCCM!$M$88,IF(F42&gt;F41,F8^2*F37^2/(2*F42*100*J11*J12/F21)-1000/F43,LLDCM!$R$78))," ")</f>
        <v xml:space="preserve"> </v>
      </c>
      <c r="G49" s="2" t="s">
        <v>26</v>
      </c>
      <c r="H49" s="47"/>
      <c r="I49" s="47"/>
      <c r="J49" s="47"/>
      <c r="K49" s="47"/>
    </row>
    <row r="50" spans="2:11">
      <c r="B50" s="86" t="s">
        <v>67</v>
      </c>
      <c r="C50" s="86"/>
      <c r="D50" s="86"/>
      <c r="E50" s="2" t="str">
        <f>F11&amp;"V LL fullload"</f>
        <v>14V LL fullload</v>
      </c>
      <c r="F50" s="19">
        <f>IF(F44&gt;0,F8*F36/(F42*F48)+F8*F36/(F42*F48)*(F44/100),IF(F42&gt;F40,F8*F36*(1-F46*F48/1000)/(F42*F48),F8*F36*(1-F48*0.9*F46/1000)/(F42*F48*0.9)))</f>
        <v>2.2279254199186105</v>
      </c>
      <c r="G50" s="2" t="s">
        <v>21</v>
      </c>
      <c r="H50" s="24"/>
    </row>
    <row r="51" spans="2:11">
      <c r="B51" s="86"/>
      <c r="C51" s="86"/>
      <c r="D51" s="86"/>
      <c r="E51" s="2" t="str">
        <f>J11&amp;"V LL fullload"</f>
        <v>15V LL fullload</v>
      </c>
      <c r="F51" s="19" t="str">
        <f>IF(F10="Rapid charger",IF(F45&gt;0,F8*F37/(F42*F49*(1-F45/100)),F8*F37*(1-F49*F47/1000)/(F42*F49))," ")</f>
        <v xml:space="preserve"> </v>
      </c>
      <c r="G51" s="2" t="s">
        <v>21</v>
      </c>
      <c r="H51" s="24"/>
    </row>
    <row r="52" spans="2:11" ht="17" customHeight="1">
      <c r="B52" s="80" t="s">
        <v>68</v>
      </c>
      <c r="C52" s="80"/>
      <c r="D52" s="80"/>
      <c r="E52" s="2" t="s">
        <v>139</v>
      </c>
      <c r="F52" s="25">
        <v>0.19500000000000001</v>
      </c>
      <c r="G52" s="2" t="s">
        <v>69</v>
      </c>
      <c r="H52" s="59" t="str">
        <f>"recommend Rsns &lt; "&amp;ROUND(0.53*0.9/MAX(F50,F51),2)&amp;"Ω"</f>
        <v>recommend Rsns &lt; 0.21Ω</v>
      </c>
      <c r="I52" s="3"/>
      <c r="J52" s="3"/>
    </row>
    <row r="53" spans="2:11" ht="15.65" customHeight="1">
      <c r="B53" s="80" t="s">
        <v>70</v>
      </c>
      <c r="C53" s="80"/>
      <c r="D53" s="80"/>
      <c r="E53" s="2" t="s">
        <v>71</v>
      </c>
      <c r="F53" s="19">
        <f>MAX(F51,F50)*F52</f>
        <v>0.43444545688412906</v>
      </c>
      <c r="G53" s="2" t="s">
        <v>15</v>
      </c>
      <c r="H53" s="59" t="s">
        <v>227</v>
      </c>
      <c r="I53" s="3"/>
      <c r="J53" s="3"/>
    </row>
    <row r="54" spans="2:11" hidden="1">
      <c r="B54" s="85" t="s">
        <v>173</v>
      </c>
      <c r="C54" s="85"/>
      <c r="D54" s="85"/>
      <c r="E54" s="2" t="s">
        <v>175</v>
      </c>
      <c r="F54" s="23">
        <f>F18/5*15</f>
        <v>55.5</v>
      </c>
      <c r="G54" s="2" t="s">
        <v>174</v>
      </c>
      <c r="H54" s="59"/>
    </row>
    <row r="55" spans="2:11">
      <c r="B55" s="85" t="s">
        <v>72</v>
      </c>
      <c r="C55" s="85"/>
      <c r="D55" s="85"/>
      <c r="E55" s="2" t="s">
        <v>73</v>
      </c>
      <c r="F55" s="23">
        <f>(F11*F32-1.8)/F54*1000</f>
        <v>253.45345345345345</v>
      </c>
      <c r="G55" s="2" t="s">
        <v>74</v>
      </c>
      <c r="H55" s="59" t="s">
        <v>141</v>
      </c>
    </row>
    <row r="56" spans="2:11" ht="14.15" customHeight="1">
      <c r="B56" s="80" t="s">
        <v>75</v>
      </c>
      <c r="C56" s="80"/>
      <c r="D56" s="80"/>
      <c r="E56" s="2" t="s">
        <v>76</v>
      </c>
      <c r="F56" s="25">
        <v>1.24</v>
      </c>
      <c r="G56" s="2" t="s">
        <v>77</v>
      </c>
      <c r="H56" s="59"/>
      <c r="J56" s="26"/>
    </row>
    <row r="57" spans="2:11" ht="14.15" customHeight="1">
      <c r="B57" s="80" t="s">
        <v>78</v>
      </c>
      <c r="C57" s="80"/>
      <c r="D57" s="80"/>
      <c r="E57" s="2" t="s">
        <v>79</v>
      </c>
      <c r="F57" s="25">
        <v>9</v>
      </c>
      <c r="G57" s="2" t="s">
        <v>38</v>
      </c>
      <c r="H57" s="59"/>
      <c r="J57" s="26"/>
    </row>
    <row r="58" spans="2:11">
      <c r="B58" s="80" t="s">
        <v>80</v>
      </c>
      <c r="C58" s="80"/>
      <c r="D58" s="80"/>
      <c r="E58" s="2" t="s">
        <v>81</v>
      </c>
      <c r="F58" s="22">
        <f>0.95*F56/F57/LOG(F5*1.414/(F5*1.414-15.3),2.78)</f>
        <v>2.1091655248532901</v>
      </c>
      <c r="G58" s="2" t="s">
        <v>82</v>
      </c>
      <c r="H58" s="59"/>
    </row>
    <row r="59" spans="2:11">
      <c r="B59" s="40"/>
      <c r="C59" s="40"/>
      <c r="D59" s="40"/>
      <c r="F59" s="43"/>
    </row>
    <row r="60" spans="2:11" ht="15" customHeight="1">
      <c r="B60" s="81" t="s">
        <v>147</v>
      </c>
      <c r="C60" s="81"/>
      <c r="D60" s="81"/>
      <c r="E60" s="81"/>
      <c r="F60" s="81"/>
      <c r="G60" s="81"/>
      <c r="H60" s="81"/>
    </row>
    <row r="61" spans="2:11" hidden="1">
      <c r="B61" s="79" t="s">
        <v>83</v>
      </c>
      <c r="C61" s="79"/>
      <c r="D61" s="79"/>
      <c r="E61" s="2" t="s">
        <v>84</v>
      </c>
      <c r="F61" s="12">
        <v>0.32</v>
      </c>
    </row>
    <row r="62" spans="2:11" ht="16.5" hidden="1">
      <c r="B62" s="79" t="s">
        <v>85</v>
      </c>
      <c r="C62" s="79"/>
      <c r="D62" s="79"/>
      <c r="E62" s="49" t="s">
        <v>86</v>
      </c>
      <c r="F62" s="12">
        <v>95</v>
      </c>
      <c r="G62" s="2" t="s">
        <v>34</v>
      </c>
      <c r="J62" s="50"/>
    </row>
    <row r="63" spans="2:11" hidden="1">
      <c r="B63" s="79" t="s">
        <v>87</v>
      </c>
      <c r="C63" s="79"/>
      <c r="D63" s="79"/>
      <c r="E63" s="2" t="s">
        <v>88</v>
      </c>
      <c r="F63" s="27">
        <f>0.5*F62/100*F29*F61/F52</f>
        <v>5.4564102564102557</v>
      </c>
      <c r="G63" s="2" t="s">
        <v>21</v>
      </c>
      <c r="H63" s="21"/>
    </row>
    <row r="64" spans="2:11" s="11" customFormat="1" hidden="1">
      <c r="B64" s="84" t="s">
        <v>177</v>
      </c>
      <c r="C64" s="84"/>
      <c r="D64" s="84"/>
      <c r="E64" s="11" t="s">
        <v>176</v>
      </c>
      <c r="F64" s="75">
        <f>IF(F14=20,75,45)</f>
        <v>75</v>
      </c>
      <c r="G64" s="11" t="s">
        <v>174</v>
      </c>
      <c r="H64" s="74"/>
    </row>
    <row r="65" spans="2:22">
      <c r="B65" s="79" t="s">
        <v>89</v>
      </c>
      <c r="C65" s="79"/>
      <c r="D65" s="79"/>
      <c r="E65" s="2" t="s">
        <v>90</v>
      </c>
      <c r="F65" s="27">
        <f>(1.5+F64*F55*0.001)/F32</f>
        <v>18.096184419713833</v>
      </c>
      <c r="G65" s="2" t="s">
        <v>18</v>
      </c>
      <c r="H65" s="59" t="s">
        <v>215</v>
      </c>
    </row>
    <row r="66" spans="2:22" s="11" customFormat="1">
      <c r="B66" s="84" t="s">
        <v>178</v>
      </c>
      <c r="C66" s="84"/>
      <c r="D66" s="84"/>
      <c r="E66" s="11" t="s">
        <v>178</v>
      </c>
      <c r="F66" s="75">
        <f>IF(F13="IW9866-15",37.5,IF(F13="IW9870-05",45,IF(F13="IW9873-63",45,IF(F13="IW9863-01",37.5,IF(F13="IW9863-06",45,IF(F13="RRW22111",45,IF(F13="RRW22122",45,IF(F13="RRW22101",45,IF(F13="iW9870-07",45)))))))))</f>
        <v>45</v>
      </c>
      <c r="G66" s="11" t="s">
        <v>174</v>
      </c>
      <c r="H66" s="74"/>
    </row>
    <row r="67" spans="2:22">
      <c r="B67" s="79" t="s">
        <v>220</v>
      </c>
      <c r="C67" s="79"/>
      <c r="D67" s="79"/>
      <c r="E67" s="2" t="s">
        <v>148</v>
      </c>
      <c r="F67" s="27">
        <f>1.5+F55*F66*0.001*F31/1.414</f>
        <v>51.319767350343938</v>
      </c>
      <c r="G67" s="2" t="s">
        <v>179</v>
      </c>
      <c r="H67" s="16"/>
    </row>
    <row r="69" spans="2:22" ht="15.5">
      <c r="B69" s="81" t="s">
        <v>91</v>
      </c>
      <c r="C69" s="81"/>
      <c r="D69" s="81"/>
      <c r="E69" s="81"/>
      <c r="F69" s="81"/>
      <c r="G69" s="81"/>
      <c r="H69" s="81"/>
    </row>
    <row r="70" spans="2:22">
      <c r="B70" s="79" t="s">
        <v>92</v>
      </c>
      <c r="C70" s="79"/>
      <c r="D70" s="79"/>
      <c r="E70" s="2" t="s">
        <v>93</v>
      </c>
      <c r="F70" s="12">
        <v>85</v>
      </c>
      <c r="G70" s="2" t="s">
        <v>94</v>
      </c>
    </row>
    <row r="71" spans="2:22">
      <c r="B71" s="79" t="s">
        <v>95</v>
      </c>
      <c r="C71" s="79"/>
      <c r="D71" s="79"/>
      <c r="E71" s="2" t="s">
        <v>96</v>
      </c>
      <c r="F71" s="27">
        <f>1000*F42*F50/F70/F26</f>
        <v>0.26959769787250415</v>
      </c>
      <c r="G71" s="2" t="s">
        <v>97</v>
      </c>
      <c r="H71" s="59" t="s">
        <v>200</v>
      </c>
      <c r="I71" s="68"/>
      <c r="J71" s="69"/>
      <c r="K71" s="69"/>
      <c r="L71" s="69"/>
      <c r="S71" s="83"/>
      <c r="T71" s="83"/>
      <c r="U71" s="83"/>
    </row>
    <row r="72" spans="2:22">
      <c r="B72" s="79" t="s">
        <v>98</v>
      </c>
      <c r="C72" s="79"/>
      <c r="D72" s="79"/>
      <c r="E72" s="2" t="s">
        <v>99</v>
      </c>
      <c r="F72" s="27">
        <f>1000*F42*0.53/F52/F70/F26</f>
        <v>0.32889463477698772</v>
      </c>
      <c r="G72" s="2" t="s">
        <v>97</v>
      </c>
      <c r="H72" s="59" t="s">
        <v>228</v>
      </c>
      <c r="I72" s="69"/>
      <c r="J72" s="69"/>
      <c r="K72" s="69"/>
      <c r="L72" s="69"/>
      <c r="S72" s="28"/>
      <c r="T72" s="28"/>
      <c r="U72" s="28"/>
    </row>
    <row r="73" spans="2:22" ht="14.15" customHeight="1">
      <c r="B73" s="79" t="s">
        <v>100</v>
      </c>
      <c r="C73" s="79"/>
      <c r="D73" s="79"/>
      <c r="E73" s="2" t="s">
        <v>101</v>
      </c>
      <c r="F73" s="29">
        <f>MAX(IF(F44&gt;0,F50*(F36*(1+F44/100+(F44/100)^2)/3)^0.5,F50*(F36*(1-F46/1000*F48)/3)^0.5))</f>
        <v>0.6947598175390205</v>
      </c>
      <c r="G73" s="2" t="s">
        <v>22</v>
      </c>
      <c r="H73" s="52"/>
      <c r="U73" s="30"/>
    </row>
    <row r="74" spans="2:22">
      <c r="B74" s="79" t="s">
        <v>102</v>
      </c>
      <c r="C74" s="79"/>
      <c r="D74" s="79"/>
      <c r="E74" s="2" t="s">
        <v>103</v>
      </c>
      <c r="F74" s="29">
        <f>IF(F44&gt;0,F29*F50*((1-F36)*(1+F44/100+(F44/100)^2)/3)^0.5,F29*F50*((1-F36)*(1-F46/1000*F48)/3)^0.5)</f>
        <v>7.286702439880048</v>
      </c>
      <c r="G74" s="2" t="s">
        <v>22</v>
      </c>
      <c r="H74" s="52"/>
      <c r="T74" s="31"/>
      <c r="U74" s="32"/>
      <c r="V74" s="33"/>
    </row>
    <row r="75" spans="2:22" ht="15.5">
      <c r="B75" s="53" t="s">
        <v>104</v>
      </c>
      <c r="C75" s="18"/>
      <c r="D75" s="18"/>
      <c r="E75" s="2" t="s">
        <v>105</v>
      </c>
      <c r="F75" s="54">
        <v>8</v>
      </c>
      <c r="G75" s="2" t="s">
        <v>106</v>
      </c>
      <c r="H75" s="52"/>
      <c r="T75" s="31"/>
      <c r="U75" s="32"/>
      <c r="V75" s="33"/>
    </row>
    <row r="76" spans="2:22">
      <c r="B76" s="79" t="s">
        <v>107</v>
      </c>
      <c r="C76" s="79"/>
      <c r="D76" s="79"/>
      <c r="E76" s="2" t="s">
        <v>108</v>
      </c>
      <c r="F76" s="29">
        <f>(4*F73/F75/3.14)^0.5</f>
        <v>0.3326117018297936</v>
      </c>
      <c r="G76" s="2" t="s">
        <v>109</v>
      </c>
      <c r="T76" s="34"/>
      <c r="U76" s="35"/>
    </row>
    <row r="77" spans="2:22">
      <c r="B77" s="79" t="s">
        <v>110</v>
      </c>
      <c r="C77" s="79"/>
      <c r="D77" s="79"/>
      <c r="E77" s="2" t="s">
        <v>111</v>
      </c>
      <c r="F77" s="29">
        <f>(4*F74/F75/3.14)^0.5</f>
        <v>1.0771735868868266</v>
      </c>
      <c r="G77" s="2" t="s">
        <v>109</v>
      </c>
    </row>
    <row r="78" spans="2:22" ht="14.15" customHeight="1">
      <c r="Q78" s="35"/>
    </row>
    <row r="79" spans="2:22" ht="14.15" customHeight="1">
      <c r="J79" s="3"/>
    </row>
    <row r="80" spans="2:22" ht="14.15" customHeight="1"/>
  </sheetData>
  <mergeCells count="68">
    <mergeCell ref="B25:H25"/>
    <mergeCell ref="B4:D4"/>
    <mergeCell ref="B9:D9"/>
    <mergeCell ref="B10:D10"/>
    <mergeCell ref="H43:L43"/>
    <mergeCell ref="H38:L38"/>
    <mergeCell ref="H39:L39"/>
    <mergeCell ref="B23:D23"/>
    <mergeCell ref="B17:D17"/>
    <mergeCell ref="B15:D15"/>
    <mergeCell ref="B14:D14"/>
    <mergeCell ref="B22:D22"/>
    <mergeCell ref="B18:D18"/>
    <mergeCell ref="B13:D13"/>
    <mergeCell ref="H16:H17"/>
    <mergeCell ref="B19:D19"/>
    <mergeCell ref="B3:H3"/>
    <mergeCell ref="B37:D37"/>
    <mergeCell ref="B36:D36"/>
    <mergeCell ref="B29:D32"/>
    <mergeCell ref="B27:D27"/>
    <mergeCell ref="B28:D28"/>
    <mergeCell ref="B7:D7"/>
    <mergeCell ref="B12:D12"/>
    <mergeCell ref="B5:D5"/>
    <mergeCell ref="B6:D6"/>
    <mergeCell ref="B8:D8"/>
    <mergeCell ref="B20:D20"/>
    <mergeCell ref="B21:D21"/>
    <mergeCell ref="B26:D26"/>
    <mergeCell ref="B34:D34"/>
    <mergeCell ref="B11:D11"/>
    <mergeCell ref="B56:D56"/>
    <mergeCell ref="B55:D55"/>
    <mergeCell ref="B42:D42"/>
    <mergeCell ref="B44:D45"/>
    <mergeCell ref="B46:D47"/>
    <mergeCell ref="B50:D51"/>
    <mergeCell ref="B53:D53"/>
    <mergeCell ref="B43:D43"/>
    <mergeCell ref="B54:D54"/>
    <mergeCell ref="S71:U71"/>
    <mergeCell ref="B71:D71"/>
    <mergeCell ref="B61:D61"/>
    <mergeCell ref="B63:D63"/>
    <mergeCell ref="B65:D65"/>
    <mergeCell ref="B69:H69"/>
    <mergeCell ref="B70:D70"/>
    <mergeCell ref="B62:D62"/>
    <mergeCell ref="B67:D67"/>
    <mergeCell ref="B64:D64"/>
    <mergeCell ref="B66:D66"/>
    <mergeCell ref="B77:D77"/>
    <mergeCell ref="B74:D74"/>
    <mergeCell ref="B72:D72"/>
    <mergeCell ref="B33:D33"/>
    <mergeCell ref="B35:D35"/>
    <mergeCell ref="B48:D49"/>
    <mergeCell ref="B52:D52"/>
    <mergeCell ref="B76:D76"/>
    <mergeCell ref="B58:D58"/>
    <mergeCell ref="B60:H60"/>
    <mergeCell ref="B73:D73"/>
    <mergeCell ref="B57:D57"/>
    <mergeCell ref="B38:D39"/>
    <mergeCell ref="B40:D41"/>
    <mergeCell ref="H40:L40"/>
    <mergeCell ref="H41:L41"/>
  </mergeCells>
  <phoneticPr fontId="3" type="noConversion"/>
  <dataValidations count="13">
    <dataValidation type="whole" errorStyle="warning" operator="equal" allowBlank="1" showInputMessage="1" showErrorMessage="1" errorTitle="Note" error="下臂分压电阻不建议调整" sqref="F54:F55 F64 F66" xr:uid="{00000000-0002-0000-0000-000000000000}">
      <formula1>3</formula1>
    </dataValidation>
    <dataValidation type="list" operator="greaterThan" allowBlank="1" showInputMessage="1" showErrorMessage="1" sqref="M6:M7" xr:uid="{00000000-0002-0000-0000-000001000000}">
      <formula1>"80,110"</formula1>
    </dataValidation>
    <dataValidation type="list" allowBlank="1" showInputMessage="1" showErrorMessage="1" sqref="M4:M5" xr:uid="{00000000-0002-0000-0000-000002000000}">
      <formula1>"CCM, CDCM,DCM"</formula1>
    </dataValidation>
    <dataValidation type="list" errorStyle="warning" allowBlank="1" showInputMessage="1" showErrorMessage="1" errorTitle="Note" error="超出可设定Kcc范围" sqref="F61" xr:uid="{00000000-0002-0000-0000-000003000000}">
      <formula1>"0.24,0.32,0.40,0.48"</formula1>
    </dataValidation>
    <dataValidation errorStyle="warning" allowBlank="1" showInputMessage="1" showErrorMessage="1" errorTitle="Over Spec" error="The primary Vds may exceed the maximum rating." sqref="F33:F34" xr:uid="{00000000-0002-0000-0000-000004000000}"/>
    <dataValidation type="list" allowBlank="1" showInputMessage="1" showErrorMessage="1" sqref="F15" xr:uid="{F4C2C332-3B2F-402E-B739-9A6E986ECF9B}">
      <formula1>"CCM, DCM"</formula1>
    </dataValidation>
    <dataValidation type="list" operator="greaterThan" allowBlank="1" showInputMessage="1" showErrorMessage="1" sqref="F16" xr:uid="{B0A7D9AD-D7A8-448C-A959-7FCA15A8ACBC}">
      <formula1>"70,125,120"</formula1>
    </dataValidation>
    <dataValidation type="list" allowBlank="1" showInputMessage="1" showErrorMessage="1" sqref="F17" xr:uid="{0C842840-81AD-4BEA-9764-57871A9A3142}">
      <formula1>"70,125,120"</formula1>
    </dataValidation>
    <dataValidation type="list" allowBlank="1" showInputMessage="1" showErrorMessage="1" sqref="F10" xr:uid="{BEB32F7C-68CE-47D9-AEEE-5EE4FFDDA341}">
      <formula1>"Rapid charger,Aux power"</formula1>
    </dataValidation>
    <dataValidation type="list" operator="greaterThan" allowBlank="1" showInputMessage="1" showErrorMessage="1" sqref="F17" xr:uid="{55F99D56-20AD-4115-8C9E-D5903EF2A466}">
      <formula1>"70,135"</formula1>
    </dataValidation>
    <dataValidation type="list" allowBlank="1" showInputMessage="1" showErrorMessage="1" sqref="F4" xr:uid="{8EB6CD1C-4800-4F0A-A761-873EB5E3AEE1}">
      <formula1>"Univesal,HL,LL"</formula1>
    </dataValidation>
    <dataValidation type="list" allowBlank="1" showInputMessage="1" showErrorMessage="1" sqref="F13" xr:uid="{94461185-4C9D-473E-B3FD-5CE4F34B3D2D}">
      <formula1>"iW9870-05,iW9873-63,iW9863-01,iW9863-06,iW9866-15,RRW22111,RRW22122,RRW22101,iW9870-07"</formula1>
    </dataValidation>
    <dataValidation type="list" allowBlank="1" showInputMessage="1" showErrorMessage="1" sqref="F14" xr:uid="{A792DCB7-F2A9-40A4-9039-1757FC948F55}">
      <formula1>"20,12"</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4ABB5-7A0A-4561-9488-476B21075F28}">
  <dimension ref="A2:I11"/>
  <sheetViews>
    <sheetView workbookViewId="0">
      <selection activeCell="C14" sqref="C14"/>
    </sheetView>
  </sheetViews>
  <sheetFormatPr defaultRowHeight="14.5"/>
  <cols>
    <col min="1" max="1" width="12.1796875" customWidth="1"/>
    <col min="3" max="3" width="15.1796875" customWidth="1"/>
    <col min="4" max="4" width="21.6328125" customWidth="1"/>
    <col min="5" max="5" width="30" customWidth="1"/>
    <col min="6" max="6" width="15.1796875" customWidth="1"/>
    <col min="7" max="7" width="23.54296875" customWidth="1"/>
    <col min="8" max="8" width="12.7265625" customWidth="1"/>
    <col min="9" max="9" width="14" customWidth="1"/>
  </cols>
  <sheetData>
    <row r="2" spans="1:9">
      <c r="A2" s="76"/>
      <c r="B2" s="76" t="s">
        <v>164</v>
      </c>
      <c r="C2" s="76" t="s">
        <v>165</v>
      </c>
      <c r="D2" s="76" t="s">
        <v>153</v>
      </c>
      <c r="E2" s="76" t="s">
        <v>166</v>
      </c>
      <c r="F2" s="76" t="s">
        <v>167</v>
      </c>
      <c r="G2" s="76" t="s">
        <v>158</v>
      </c>
      <c r="H2" s="76" t="s">
        <v>168</v>
      </c>
      <c r="I2" s="76" t="s">
        <v>172</v>
      </c>
    </row>
    <row r="3" spans="1:9">
      <c r="A3" s="76" t="s">
        <v>149</v>
      </c>
      <c r="B3" s="76">
        <v>6</v>
      </c>
      <c r="C3" s="76" t="s">
        <v>162</v>
      </c>
      <c r="D3" s="76" t="s">
        <v>154</v>
      </c>
      <c r="E3" s="76" t="s">
        <v>155</v>
      </c>
      <c r="F3" s="76" t="s">
        <v>171</v>
      </c>
      <c r="G3" s="76">
        <v>20</v>
      </c>
      <c r="H3" s="76">
        <v>125</v>
      </c>
      <c r="I3" s="76" t="s">
        <v>136</v>
      </c>
    </row>
    <row r="4" spans="1:9">
      <c r="A4" s="76" t="s">
        <v>204</v>
      </c>
      <c r="B4" s="76">
        <v>10</v>
      </c>
      <c r="C4" s="76" t="s">
        <v>170</v>
      </c>
      <c r="D4" s="76" t="s">
        <v>154</v>
      </c>
      <c r="E4" s="76" t="s">
        <v>205</v>
      </c>
      <c r="F4" s="76" t="s">
        <v>171</v>
      </c>
      <c r="G4" s="76">
        <v>20</v>
      </c>
      <c r="H4" s="76">
        <v>120</v>
      </c>
      <c r="I4" s="76" t="s">
        <v>136</v>
      </c>
    </row>
    <row r="5" spans="1:9">
      <c r="A5" s="76" t="s">
        <v>150</v>
      </c>
      <c r="B5" s="76">
        <v>10</v>
      </c>
      <c r="C5" s="76" t="s">
        <v>163</v>
      </c>
      <c r="D5" s="76" t="s">
        <v>154</v>
      </c>
      <c r="E5" s="76" t="s">
        <v>156</v>
      </c>
      <c r="F5" s="76" t="s">
        <v>157</v>
      </c>
      <c r="G5" s="76">
        <v>20</v>
      </c>
      <c r="H5" s="76">
        <v>125</v>
      </c>
      <c r="I5" s="76" t="s">
        <v>159</v>
      </c>
    </row>
    <row r="6" spans="1:9">
      <c r="A6" s="76" t="s">
        <v>151</v>
      </c>
      <c r="B6" s="76">
        <v>10</v>
      </c>
      <c r="C6" s="76" t="s">
        <v>163</v>
      </c>
      <c r="D6" s="76" t="s">
        <v>154</v>
      </c>
      <c r="E6" s="76" t="s">
        <v>156</v>
      </c>
      <c r="F6" s="76" t="s">
        <v>157</v>
      </c>
      <c r="G6" s="76">
        <v>12</v>
      </c>
      <c r="H6" s="76">
        <v>70</v>
      </c>
      <c r="I6" s="76" t="s">
        <v>159</v>
      </c>
    </row>
    <row r="7" spans="1:9">
      <c r="A7" s="76" t="s">
        <v>152</v>
      </c>
      <c r="B7" s="76">
        <v>10</v>
      </c>
      <c r="C7" s="76" t="s">
        <v>163</v>
      </c>
      <c r="D7" s="76" t="s">
        <v>154</v>
      </c>
      <c r="E7" s="76" t="s">
        <v>156</v>
      </c>
      <c r="F7" s="76" t="s">
        <v>157</v>
      </c>
      <c r="G7" s="76">
        <v>20</v>
      </c>
      <c r="H7" s="76">
        <v>70</v>
      </c>
      <c r="I7" s="76" t="s">
        <v>159</v>
      </c>
    </row>
    <row r="8" spans="1:9">
      <c r="A8" s="76" t="s">
        <v>185</v>
      </c>
      <c r="B8" s="76">
        <v>10</v>
      </c>
      <c r="C8" s="76" t="s">
        <v>170</v>
      </c>
      <c r="D8" s="76" t="s">
        <v>154</v>
      </c>
      <c r="E8" s="76" t="s">
        <v>155</v>
      </c>
      <c r="F8" s="76" t="s">
        <v>171</v>
      </c>
      <c r="G8" s="76">
        <v>20</v>
      </c>
      <c r="H8" s="76">
        <v>70</v>
      </c>
      <c r="I8" s="76" t="s">
        <v>159</v>
      </c>
    </row>
    <row r="9" spans="1:9">
      <c r="A9" s="76" t="s">
        <v>160</v>
      </c>
      <c r="B9" s="76">
        <v>10</v>
      </c>
      <c r="C9" s="76" t="s">
        <v>163</v>
      </c>
      <c r="D9" s="76" t="s">
        <v>161</v>
      </c>
      <c r="E9" s="76" t="s">
        <v>156</v>
      </c>
      <c r="F9" s="76" t="s">
        <v>157</v>
      </c>
      <c r="G9" s="76">
        <v>20</v>
      </c>
      <c r="H9" s="76">
        <v>70</v>
      </c>
      <c r="I9" s="76" t="s">
        <v>159</v>
      </c>
    </row>
    <row r="10" spans="1:9">
      <c r="A10" s="76" t="s">
        <v>184</v>
      </c>
      <c r="B10" s="76">
        <v>10</v>
      </c>
      <c r="C10" s="76" t="s">
        <v>170</v>
      </c>
      <c r="D10" s="76" t="s">
        <v>161</v>
      </c>
      <c r="E10" s="76" t="s">
        <v>156</v>
      </c>
      <c r="F10" s="76" t="s">
        <v>171</v>
      </c>
      <c r="G10" s="76">
        <v>20</v>
      </c>
      <c r="H10" s="76">
        <v>70</v>
      </c>
      <c r="I10" s="76" t="s">
        <v>159</v>
      </c>
    </row>
    <row r="11" spans="1:9">
      <c r="A11" s="76" t="s">
        <v>169</v>
      </c>
      <c r="B11" s="76">
        <v>10</v>
      </c>
      <c r="C11" s="76" t="s">
        <v>170</v>
      </c>
      <c r="D11" s="76" t="s">
        <v>154</v>
      </c>
      <c r="E11" s="76" t="s">
        <v>156</v>
      </c>
      <c r="F11" s="76" t="s">
        <v>157</v>
      </c>
      <c r="G11" s="76">
        <v>20</v>
      </c>
      <c r="H11" s="76">
        <v>70</v>
      </c>
      <c r="I11" s="76" t="s">
        <v>159</v>
      </c>
    </row>
  </sheetData>
  <phoneticPr fontId="2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4A207-0361-4B99-A8C6-B31A23E78209}">
  <dimension ref="A1:Q78"/>
  <sheetViews>
    <sheetView topLeftCell="A35" workbookViewId="0">
      <selection activeCell="N26" sqref="N26"/>
    </sheetView>
  </sheetViews>
  <sheetFormatPr defaultRowHeight="14.5"/>
  <sheetData>
    <row r="1" spans="1:1" ht="18.5">
      <c r="A1" s="71" t="s">
        <v>186</v>
      </c>
    </row>
    <row r="2" spans="1:1">
      <c r="A2" t="s">
        <v>206</v>
      </c>
    </row>
    <row r="8" spans="1:1" ht="18.5">
      <c r="A8" s="71" t="s">
        <v>187</v>
      </c>
    </row>
    <row r="9" spans="1:1">
      <c r="A9" t="s">
        <v>189</v>
      </c>
    </row>
    <row r="14" spans="1:1">
      <c r="A14" t="s">
        <v>190</v>
      </c>
    </row>
    <row r="18" spans="1:17">
      <c r="A18" s="72" t="s">
        <v>191</v>
      </c>
    </row>
    <row r="20" spans="1:17" ht="18.5">
      <c r="A20" s="71" t="s">
        <v>216</v>
      </c>
    </row>
    <row r="21" spans="1:17">
      <c r="A21" s="73" t="s">
        <v>192</v>
      </c>
    </row>
    <row r="28" spans="1:17" ht="18.5">
      <c r="A28" s="71" t="s">
        <v>217</v>
      </c>
    </row>
    <row r="29" spans="1:17" ht="89.5" customHeight="1">
      <c r="A29" s="90" t="s">
        <v>219</v>
      </c>
      <c r="B29" s="90"/>
      <c r="C29" s="90"/>
      <c r="D29" s="90"/>
      <c r="E29" s="90"/>
      <c r="F29" s="90"/>
      <c r="G29" s="90"/>
      <c r="H29" s="90"/>
      <c r="I29" s="90"/>
      <c r="J29" s="90"/>
      <c r="K29" s="90"/>
      <c r="L29" s="90"/>
      <c r="M29" s="90"/>
      <c r="N29" s="90"/>
      <c r="O29" s="90"/>
      <c r="P29" s="90"/>
      <c r="Q29" s="90"/>
    </row>
    <row r="30" spans="1:17" ht="27.5" customHeight="1">
      <c r="A30" s="78"/>
      <c r="B30" s="78"/>
      <c r="C30" s="78"/>
      <c r="D30" s="78"/>
      <c r="E30" s="78"/>
      <c r="F30" s="78"/>
      <c r="G30" s="78"/>
      <c r="H30" s="78"/>
      <c r="I30" s="78"/>
      <c r="J30" s="78"/>
      <c r="K30" s="78"/>
      <c r="L30" s="78"/>
      <c r="M30" s="78"/>
      <c r="N30" s="78"/>
      <c r="O30" s="78"/>
      <c r="P30" s="78"/>
      <c r="Q30" s="78"/>
    </row>
    <row r="43" spans="1:1" ht="18.5">
      <c r="A43" s="71" t="s">
        <v>193</v>
      </c>
    </row>
    <row r="44" spans="1:1">
      <c r="A44" t="s">
        <v>194</v>
      </c>
    </row>
    <row r="45" spans="1:1" ht="19.5" customHeight="1"/>
    <row r="53" spans="1:1">
      <c r="A53" t="s">
        <v>197</v>
      </c>
    </row>
    <row r="55" spans="1:1" ht="18.5">
      <c r="A55" s="71" t="s">
        <v>198</v>
      </c>
    </row>
    <row r="56" spans="1:1">
      <c r="A56" t="s">
        <v>199</v>
      </c>
    </row>
    <row r="68" spans="1:1" ht="18.5">
      <c r="A68" s="71" t="s">
        <v>221</v>
      </c>
    </row>
    <row r="69" spans="1:1">
      <c r="A69" t="s">
        <v>222</v>
      </c>
    </row>
    <row r="74" spans="1:1">
      <c r="A74" t="s">
        <v>225</v>
      </c>
    </row>
    <row r="76" spans="1:1" ht="18.5">
      <c r="A76" s="71" t="s">
        <v>226</v>
      </c>
    </row>
    <row r="78" spans="1:1">
      <c r="A78" t="s">
        <v>201</v>
      </c>
    </row>
  </sheetData>
  <mergeCells count="1">
    <mergeCell ref="A29:Q2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13"/>
  <sheetViews>
    <sheetView topLeftCell="A36" zoomScaleNormal="100" workbookViewId="0">
      <selection activeCell="B53" sqref="B53"/>
    </sheetView>
  </sheetViews>
  <sheetFormatPr defaultColWidth="8.6328125" defaultRowHeight="14.5"/>
  <cols>
    <col min="1" max="1" width="8.6328125" style="45"/>
    <col min="2" max="3" width="13.6328125" style="45" bestFit="1" customWidth="1"/>
    <col min="4" max="5" width="11.7265625" style="45" bestFit="1" customWidth="1"/>
    <col min="6" max="8" width="8.6328125" style="45"/>
    <col min="9" max="9" width="12.90625" style="45" bestFit="1" customWidth="1"/>
    <col min="10" max="10" width="12.90625" style="45" customWidth="1"/>
    <col min="11" max="12" width="8.6328125" style="45"/>
    <col min="13" max="13" width="12.90625" style="45" bestFit="1" customWidth="1"/>
    <col min="14" max="14" width="8.6328125" style="45"/>
    <col min="15" max="16" width="11.7265625" style="45" bestFit="1" customWidth="1"/>
    <col min="17" max="19" width="8.6328125" style="45"/>
    <col min="20" max="20" width="11.7265625" style="45" bestFit="1" customWidth="1"/>
    <col min="21" max="16384" width="8.6328125" style="45"/>
  </cols>
  <sheetData>
    <row r="1" spans="1:26" ht="14.15" customHeight="1">
      <c r="A1" s="44" t="str">
        <f>worksheet!$F$11&amp;"V"</f>
        <v>14V</v>
      </c>
      <c r="B1" s="44"/>
      <c r="C1" s="44"/>
      <c r="D1" s="44"/>
      <c r="E1" s="44"/>
      <c r="F1" s="44"/>
      <c r="G1" s="44"/>
      <c r="H1" s="44"/>
      <c r="I1" s="44"/>
      <c r="J1" s="44"/>
      <c r="K1" s="44"/>
      <c r="L1" s="44" t="str">
        <f>worksheet!$J$11&amp;"V"</f>
        <v>15V</v>
      </c>
      <c r="M1" s="44"/>
      <c r="N1" s="44"/>
      <c r="O1" s="44"/>
      <c r="P1" s="44"/>
      <c r="Q1" s="44"/>
      <c r="R1" s="44"/>
      <c r="S1" s="44"/>
      <c r="T1" s="44"/>
      <c r="U1" s="44"/>
      <c r="V1" s="44"/>
      <c r="W1" s="44"/>
      <c r="X1" s="44"/>
      <c r="Y1" s="44"/>
      <c r="Z1" s="44"/>
    </row>
    <row r="2" spans="1:26" ht="28">
      <c r="A2" s="44" t="s">
        <v>112</v>
      </c>
      <c r="B2" s="44" t="s">
        <v>113</v>
      </c>
      <c r="C2" s="44" t="s">
        <v>114</v>
      </c>
      <c r="D2" s="44" t="s">
        <v>115</v>
      </c>
      <c r="E2" s="44" t="s">
        <v>116</v>
      </c>
      <c r="F2" s="44" t="s">
        <v>117</v>
      </c>
      <c r="G2" s="44" t="s">
        <v>118</v>
      </c>
      <c r="H2" s="44" t="s">
        <v>119</v>
      </c>
      <c r="I2" s="44" t="s">
        <v>120</v>
      </c>
      <c r="J2" s="44"/>
      <c r="K2" s="44"/>
      <c r="L2" s="44" t="s">
        <v>112</v>
      </c>
      <c r="M2" s="44" t="s">
        <v>113</v>
      </c>
      <c r="N2" s="44" t="s">
        <v>114</v>
      </c>
      <c r="O2" s="44" t="s">
        <v>115</v>
      </c>
      <c r="P2" s="44" t="s">
        <v>116</v>
      </c>
      <c r="Q2" s="44" t="s">
        <v>117</v>
      </c>
      <c r="R2" s="44" t="s">
        <v>118</v>
      </c>
      <c r="S2" s="44" t="s">
        <v>119</v>
      </c>
      <c r="T2" s="44" t="s">
        <v>120</v>
      </c>
      <c r="U2" s="44"/>
      <c r="V2" s="44"/>
      <c r="W2" s="44"/>
      <c r="X2" s="44"/>
      <c r="Y2" s="44"/>
      <c r="Z2" s="44"/>
    </row>
    <row r="3" spans="1:26">
      <c r="A3" s="44">
        <v>1.1000000000000001</v>
      </c>
      <c r="B3" s="44">
        <v>25</v>
      </c>
      <c r="C3" s="44">
        <v>0.2</v>
      </c>
      <c r="D3" s="44">
        <f>MIN(1000*worksheet!$F$36/B3,1000*worksheet!$F$42*C3/worksheet!$F$52/worksheet!$F$8)</f>
        <v>2.0139860139860142</v>
      </c>
      <c r="E3" s="44">
        <f>MIN(1000*(1-worksheet!$F$36/B3),worksheet!$F$8*D3/worksheet!$F$29/worksheet!$F$11)</f>
        <v>4.5211930926216644</v>
      </c>
      <c r="F3" s="44" t="str">
        <f>IF((D3+E3)&lt;(1000/B3),"DCM","CCM")</f>
        <v>DCM</v>
      </c>
      <c r="G3" s="44">
        <f>H3-worksheet!$F$8*D3/worksheet!$F$42/1000</f>
        <v>0</v>
      </c>
      <c r="H3" s="44">
        <f>C3/worksheet!$F$52</f>
        <v>1.0256410256410258</v>
      </c>
      <c r="I3" s="44">
        <f>0.5*worksheet!$F$62/100*worksheet!$F$29*(G3+H3)*E3*B3/1000*worksheet!$F$11</f>
        <v>5.3964497041420127</v>
      </c>
      <c r="J3" s="46">
        <f>B3</f>
        <v>25</v>
      </c>
      <c r="K3" s="44"/>
      <c r="L3" s="44">
        <v>1.1000000000000001</v>
      </c>
      <c r="M3" s="44" t="str">
        <f>IF(worksheet!$F$10="Rapid charger",25," ")</f>
        <v xml:space="preserve"> </v>
      </c>
      <c r="N3" s="44">
        <v>0.2</v>
      </c>
      <c r="O3" s="44" t="e">
        <f>MIN(1000*worksheet!$F$37/M3,1000*worksheet!$F$42*N3/worksheet!$F$52/worksheet!$F$8)</f>
        <v>#VALUE!</v>
      </c>
      <c r="P3" s="44" t="e">
        <f>MIN(1000*(1-worksheet!$F$37/M3),worksheet!$F$8*O3/worksheet!$F$29/worksheet!$J$11)</f>
        <v>#VALUE!</v>
      </c>
      <c r="Q3" s="44" t="e">
        <f>IF((O3+P3)&lt;(1000/M3),"DCM","CCM")</f>
        <v>#VALUE!</v>
      </c>
      <c r="R3" s="44" t="e">
        <f>S3-worksheet!$F$8*O3/worksheet!$F$42/1000</f>
        <v>#VALUE!</v>
      </c>
      <c r="S3" s="44">
        <f>N3/worksheet!$F$52</f>
        <v>1.0256410256410258</v>
      </c>
      <c r="T3" s="44" t="e">
        <f>0.5*worksheet!$F$62/100*worksheet!$F$29*(R3+S3)*P3*M3/1000*worksheet!$J$11</f>
        <v>#VALUE!</v>
      </c>
      <c r="U3" s="44"/>
      <c r="V3" s="44"/>
      <c r="W3" s="44"/>
      <c r="X3" s="44"/>
      <c r="Y3" s="44"/>
      <c r="Z3" s="44"/>
    </row>
    <row r="4" spans="1:26">
      <c r="A4" s="44">
        <v>1.1200000000000001</v>
      </c>
      <c r="B4" s="44">
        <v>25</v>
      </c>
      <c r="C4" s="44">
        <f>C3+($C$28-$C$3)/25</f>
        <v>0.20320000000000002</v>
      </c>
      <c r="D4" s="44">
        <f>MIN(1000*worksheet!$F$36/B4,1000*worksheet!$F$42*C4/worksheet!$F$52/worksheet!$F$8)</f>
        <v>2.0462097902097902</v>
      </c>
      <c r="E4" s="44">
        <f>MIN(1000*(1-worksheet!$F$36/B4),worksheet!$F$8*D4/worksheet!$F$29/worksheet!$F$11)</f>
        <v>4.5935321821036101</v>
      </c>
      <c r="F4" s="44" t="str">
        <f t="shared" ref="F4:F67" si="0">IF((D4+E4)&lt;(1000/B4),"DCM","CCM")</f>
        <v>DCM</v>
      </c>
      <c r="G4" s="44">
        <f>H4-worksheet!$F$8*D4/worksheet!$F$42/1000</f>
        <v>0</v>
      </c>
      <c r="H4" s="44">
        <f>C4/worksheet!$F$52</f>
        <v>1.0420512820512822</v>
      </c>
      <c r="I4" s="44">
        <f>0.5*worksheet!$F$62/100*worksheet!$F$29*(G4+H4)*E4*B4/1000*worksheet!$F$11</f>
        <v>5.5705175857988154</v>
      </c>
      <c r="J4" s="46">
        <f t="shared" ref="J4:J67" si="1">B4</f>
        <v>25</v>
      </c>
      <c r="K4" s="44"/>
      <c r="L4" s="44">
        <v>1.1200000000000001</v>
      </c>
      <c r="M4" s="44" t="str">
        <f>IF(worksheet!$F$10="Rapid charger",25," ")</f>
        <v xml:space="preserve"> </v>
      </c>
      <c r="N4" s="44">
        <f>N3+($C$28-$C$3)/25</f>
        <v>0.20320000000000002</v>
      </c>
      <c r="O4" s="44" t="e">
        <f>MIN(1000*worksheet!$F$37/M4,1000*worksheet!$F$42*N4/worksheet!$F$52/worksheet!$F$8)</f>
        <v>#VALUE!</v>
      </c>
      <c r="P4" s="44" t="e">
        <f>MIN(1000*(1-worksheet!$F$37/M4),worksheet!$F$8*O4/worksheet!$F$29/worksheet!$J$11)</f>
        <v>#VALUE!</v>
      </c>
      <c r="Q4" s="44" t="e">
        <f t="shared" ref="Q4:Q67" si="2">IF((O4+P4)&lt;(1000/M4),"DCM","CCM")</f>
        <v>#VALUE!</v>
      </c>
      <c r="R4" s="44" t="e">
        <f>S4-worksheet!$F$8*O4/worksheet!$F$42/1000</f>
        <v>#VALUE!</v>
      </c>
      <c r="S4" s="44">
        <f>N4/worksheet!$F$52</f>
        <v>1.0420512820512822</v>
      </c>
      <c r="T4" s="44" t="e">
        <f>0.5*worksheet!$F$62/100*worksheet!$F$29*(R4+S4)*P4*M4/1000*worksheet!$J$11</f>
        <v>#VALUE!</v>
      </c>
      <c r="U4" s="44"/>
      <c r="V4" s="44"/>
      <c r="W4" s="44"/>
      <c r="X4" s="44"/>
      <c r="Y4" s="44"/>
      <c r="Z4" s="44"/>
    </row>
    <row r="5" spans="1:26">
      <c r="A5" s="44">
        <v>1.1399999999999999</v>
      </c>
      <c r="B5" s="44">
        <v>25</v>
      </c>
      <c r="C5" s="44">
        <f t="shared" ref="C5:C27" si="3">C4+($C$28-$C$3)/25</f>
        <v>0.20640000000000003</v>
      </c>
      <c r="D5" s="44">
        <f>MIN(1000*worksheet!$F$36/B5,1000*worksheet!$F$42*C5/worksheet!$F$52/worksheet!$F$8)</f>
        <v>2.0784335664335667</v>
      </c>
      <c r="E5" s="44">
        <f>MIN(1000*(1-worksheet!$F$36/B5),worksheet!$F$8*D5/worksheet!$F$29/worksheet!$F$11)</f>
        <v>4.6658712715855577</v>
      </c>
      <c r="F5" s="44" t="str">
        <f t="shared" si="0"/>
        <v>DCM</v>
      </c>
      <c r="G5" s="44">
        <f>H5-worksheet!$F$8*D5/worksheet!$F$42/1000</f>
        <v>0</v>
      </c>
      <c r="H5" s="44">
        <f>C5/worksheet!$F$52</f>
        <v>1.0584615384615386</v>
      </c>
      <c r="I5" s="44">
        <f>0.5*worksheet!$F$62/100*worksheet!$F$29*(G5+H5)*E5*B5/1000*worksheet!$F$11</f>
        <v>5.7473484497041429</v>
      </c>
      <c r="J5" s="46">
        <f t="shared" si="1"/>
        <v>25</v>
      </c>
      <c r="K5" s="44"/>
      <c r="L5" s="44">
        <v>1.1399999999999999</v>
      </c>
      <c r="M5" s="44" t="str">
        <f>IF(worksheet!$F$10="Rapid charger",25," ")</f>
        <v xml:space="preserve"> </v>
      </c>
      <c r="N5" s="44">
        <f t="shared" ref="N5:N27" si="4">N4+($C$28-$C$3)/25</f>
        <v>0.20640000000000003</v>
      </c>
      <c r="O5" s="44" t="e">
        <f>MIN(1000*worksheet!$F$37/M5,1000*worksheet!$F$42*N5/worksheet!$F$52/worksheet!$F$8)</f>
        <v>#VALUE!</v>
      </c>
      <c r="P5" s="44" t="e">
        <f>MIN(1000*(1-worksheet!$F$37/M5),worksheet!$F$8*O5/worksheet!$F$29/worksheet!$J$11)</f>
        <v>#VALUE!</v>
      </c>
      <c r="Q5" s="44" t="e">
        <f t="shared" si="2"/>
        <v>#VALUE!</v>
      </c>
      <c r="R5" s="44" t="e">
        <f>S5-worksheet!$F$8*O5/worksheet!$F$42/1000</f>
        <v>#VALUE!</v>
      </c>
      <c r="S5" s="44">
        <f>N5/worksheet!$F$52</f>
        <v>1.0584615384615386</v>
      </c>
      <c r="T5" s="44" t="e">
        <f>0.5*worksheet!$F$62/100*worksheet!$F$29*(R5+S5)*P5*M5/1000*worksheet!$J$11</f>
        <v>#VALUE!</v>
      </c>
      <c r="U5" s="44"/>
      <c r="V5" s="44"/>
      <c r="W5" s="44"/>
      <c r="X5" s="44"/>
      <c r="Y5" s="44"/>
      <c r="Z5" s="44"/>
    </row>
    <row r="6" spans="1:26">
      <c r="A6" s="44">
        <v>1.1599999999999999</v>
      </c>
      <c r="B6" s="44">
        <v>25</v>
      </c>
      <c r="C6" s="44">
        <f t="shared" si="3"/>
        <v>0.20960000000000004</v>
      </c>
      <c r="D6" s="44">
        <f>MIN(1000*worksheet!$F$36/B6,1000*worksheet!$F$42*C6/worksheet!$F$52/worksheet!$F$8)</f>
        <v>2.1106573426573432</v>
      </c>
      <c r="E6" s="44">
        <f>MIN(1000*(1-worksheet!$F$36/B6),worksheet!$F$8*D6/worksheet!$F$29/worksheet!$F$11)</f>
        <v>4.7382103610675044</v>
      </c>
      <c r="F6" s="44" t="str">
        <f t="shared" si="0"/>
        <v>DCM</v>
      </c>
      <c r="G6" s="44">
        <f>H6-worksheet!$F$8*D6/worksheet!$F$42/1000</f>
        <v>0</v>
      </c>
      <c r="H6" s="44">
        <f>C6/worksheet!$F$52</f>
        <v>1.074871794871795</v>
      </c>
      <c r="I6" s="44">
        <f>0.5*worksheet!$F$62/100*worksheet!$F$29*(G6+H6)*E6*B6/1000*worksheet!$F$11</f>
        <v>5.9269422958579883</v>
      </c>
      <c r="J6" s="46">
        <f t="shared" si="1"/>
        <v>25</v>
      </c>
      <c r="K6" s="44"/>
      <c r="L6" s="44">
        <v>1.1599999999999999</v>
      </c>
      <c r="M6" s="44" t="str">
        <f>IF(worksheet!$F$10="Rapid charger",25," ")</f>
        <v xml:space="preserve"> </v>
      </c>
      <c r="N6" s="44">
        <f t="shared" si="4"/>
        <v>0.20960000000000004</v>
      </c>
      <c r="O6" s="44" t="e">
        <f>MIN(1000*worksheet!$F$37/M6,1000*worksheet!$F$42*N6/worksheet!$F$52/worksheet!$F$8)</f>
        <v>#VALUE!</v>
      </c>
      <c r="P6" s="44" t="e">
        <f>MIN(1000*(1-worksheet!$F$37/M6),worksheet!$F$8*O6/worksheet!$F$29/worksheet!$J$11)</f>
        <v>#VALUE!</v>
      </c>
      <c r="Q6" s="44" t="e">
        <f t="shared" si="2"/>
        <v>#VALUE!</v>
      </c>
      <c r="R6" s="44" t="e">
        <f>S6-worksheet!$F$8*O6/worksheet!$F$42/1000</f>
        <v>#VALUE!</v>
      </c>
      <c r="S6" s="44">
        <f>N6/worksheet!$F$52</f>
        <v>1.074871794871795</v>
      </c>
      <c r="T6" s="44" t="e">
        <f>0.5*worksheet!$F$62/100*worksheet!$F$29*(R6+S6)*P6*M6/1000*worksheet!$J$11</f>
        <v>#VALUE!</v>
      </c>
      <c r="U6" s="44"/>
      <c r="V6" s="44"/>
      <c r="W6" s="44"/>
      <c r="X6" s="44"/>
      <c r="Y6" s="44"/>
      <c r="Z6" s="44"/>
    </row>
    <row r="7" spans="1:26">
      <c r="A7" s="44">
        <v>1.18</v>
      </c>
      <c r="B7" s="44">
        <v>25</v>
      </c>
      <c r="C7" s="44">
        <f t="shared" si="3"/>
        <v>0.21280000000000004</v>
      </c>
      <c r="D7" s="44">
        <f>MIN(1000*worksheet!$F$36/B7,1000*worksheet!$F$42*C7/worksheet!$F$52/worksheet!$F$8)</f>
        <v>2.1428811188811197</v>
      </c>
      <c r="E7" s="44">
        <f>MIN(1000*(1-worksheet!$F$36/B7),worksheet!$F$8*D7/worksheet!$F$29/worksheet!$F$11)</f>
        <v>4.8105494505494519</v>
      </c>
      <c r="F7" s="44" t="str">
        <f t="shared" si="0"/>
        <v>DCM</v>
      </c>
      <c r="G7" s="44">
        <f>H7-worksheet!$F$8*D7/worksheet!$F$42/1000</f>
        <v>0</v>
      </c>
      <c r="H7" s="44">
        <f>C7/worksheet!$F$52</f>
        <v>1.0912820512820516</v>
      </c>
      <c r="I7" s="44">
        <f>0.5*worksheet!$F$62/100*worksheet!$F$29*(G7+H7)*E7*B7/1000*worksheet!$F$11</f>
        <v>6.1092991242603585</v>
      </c>
      <c r="J7" s="46">
        <f t="shared" si="1"/>
        <v>25</v>
      </c>
      <c r="K7" s="44"/>
      <c r="L7" s="44">
        <v>1.18</v>
      </c>
      <c r="M7" s="44" t="str">
        <f>IF(worksheet!$F$10="Rapid charger",25," ")</f>
        <v xml:space="preserve"> </v>
      </c>
      <c r="N7" s="44">
        <f t="shared" si="4"/>
        <v>0.21280000000000004</v>
      </c>
      <c r="O7" s="44" t="e">
        <f>MIN(1000*worksheet!$F$37/M7,1000*worksheet!$F$42*N7/worksheet!$F$52/worksheet!$F$8)</f>
        <v>#VALUE!</v>
      </c>
      <c r="P7" s="44" t="e">
        <f>MIN(1000*(1-worksheet!$F$37/M7),worksheet!$F$8*O7/worksheet!$F$29/worksheet!$J$11)</f>
        <v>#VALUE!</v>
      </c>
      <c r="Q7" s="44" t="e">
        <f t="shared" si="2"/>
        <v>#VALUE!</v>
      </c>
      <c r="R7" s="44" t="e">
        <f>S7-worksheet!$F$8*O7/worksheet!$F$42/1000</f>
        <v>#VALUE!</v>
      </c>
      <c r="S7" s="44">
        <f>N7/worksheet!$F$52</f>
        <v>1.0912820512820516</v>
      </c>
      <c r="T7" s="44" t="e">
        <f>0.5*worksheet!$F$62/100*worksheet!$F$29*(R7+S7)*P7*M7/1000*worksheet!$J$11</f>
        <v>#VALUE!</v>
      </c>
      <c r="U7" s="44"/>
      <c r="V7" s="44"/>
      <c r="W7" s="44"/>
      <c r="X7" s="44"/>
      <c r="Y7" s="44"/>
      <c r="Z7" s="44"/>
    </row>
    <row r="8" spans="1:26">
      <c r="A8" s="44">
        <v>1.2</v>
      </c>
      <c r="B8" s="44">
        <v>25</v>
      </c>
      <c r="C8" s="44">
        <f t="shared" si="3"/>
        <v>0.21600000000000005</v>
      </c>
      <c r="D8" s="44">
        <f>MIN(1000*worksheet!$F$36/B8,1000*worksheet!$F$42*C8/worksheet!$F$52/worksheet!$F$8)</f>
        <v>2.1751048951048957</v>
      </c>
      <c r="E8" s="44">
        <f>MIN(1000*(1-worksheet!$F$36/B8),worksheet!$F$8*D8/worksheet!$F$29/worksheet!$F$11)</f>
        <v>4.8828885400313977</v>
      </c>
      <c r="F8" s="44" t="str">
        <f t="shared" si="0"/>
        <v>DCM</v>
      </c>
      <c r="G8" s="44">
        <f>H8-worksheet!$F$8*D8/worksheet!$F$42/1000</f>
        <v>0</v>
      </c>
      <c r="H8" s="44">
        <f>C8/worksheet!$F$52</f>
        <v>1.107692307692308</v>
      </c>
      <c r="I8" s="44">
        <f>0.5*worksheet!$F$62/100*worksheet!$F$29*(G8+H8)*E8*B8/1000*worksheet!$F$11</f>
        <v>6.2944189349112447</v>
      </c>
      <c r="J8" s="46">
        <f t="shared" si="1"/>
        <v>25</v>
      </c>
      <c r="K8" s="44"/>
      <c r="L8" s="44">
        <v>1.2</v>
      </c>
      <c r="M8" s="44" t="str">
        <f>IF(worksheet!$F$10="Rapid charger",25," ")</f>
        <v xml:space="preserve"> </v>
      </c>
      <c r="N8" s="44">
        <f t="shared" si="4"/>
        <v>0.21600000000000005</v>
      </c>
      <c r="O8" s="44" t="e">
        <f>MIN(1000*worksheet!$F$37/M8,1000*worksheet!$F$42*N8/worksheet!$F$52/worksheet!$F$8)</f>
        <v>#VALUE!</v>
      </c>
      <c r="P8" s="44" t="e">
        <f>MIN(1000*(1-worksheet!$F$37/M8),worksheet!$F$8*O8/worksheet!$F$29/worksheet!$J$11)</f>
        <v>#VALUE!</v>
      </c>
      <c r="Q8" s="44" t="e">
        <f t="shared" si="2"/>
        <v>#VALUE!</v>
      </c>
      <c r="R8" s="44" t="e">
        <f>S8-worksheet!$F$8*O8/worksheet!$F$42/1000</f>
        <v>#VALUE!</v>
      </c>
      <c r="S8" s="44">
        <f>N8/worksheet!$F$52</f>
        <v>1.107692307692308</v>
      </c>
      <c r="T8" s="44" t="e">
        <f>0.5*worksheet!$F$62/100*worksheet!$F$29*(R8+S8)*P8*M8/1000*worksheet!$J$11</f>
        <v>#VALUE!</v>
      </c>
      <c r="U8" s="44"/>
      <c r="V8" s="44"/>
      <c r="W8" s="44"/>
      <c r="X8" s="44"/>
      <c r="Y8" s="44"/>
      <c r="Z8" s="44"/>
    </row>
    <row r="9" spans="1:26">
      <c r="A9" s="44">
        <v>1.22</v>
      </c>
      <c r="B9" s="44">
        <v>25</v>
      </c>
      <c r="C9" s="44">
        <f t="shared" si="3"/>
        <v>0.21920000000000006</v>
      </c>
      <c r="D9" s="44">
        <f>MIN(1000*worksheet!$F$36/B9,1000*worksheet!$F$42*C9/worksheet!$F$52/worksheet!$F$8)</f>
        <v>2.2073286713286717</v>
      </c>
      <c r="E9" s="44">
        <f>MIN(1000*(1-worksheet!$F$36/B9),worksheet!$F$8*D9/worksheet!$F$29/worksheet!$F$11)</f>
        <v>4.9552276295133444</v>
      </c>
      <c r="F9" s="44" t="str">
        <f t="shared" si="0"/>
        <v>DCM</v>
      </c>
      <c r="G9" s="44">
        <f>H9-worksheet!$F$8*D9/worksheet!$F$42/1000</f>
        <v>0</v>
      </c>
      <c r="H9" s="44">
        <f>C9/worksheet!$F$52</f>
        <v>1.1241025641025644</v>
      </c>
      <c r="I9" s="44">
        <f>0.5*worksheet!$F$62/100*worksheet!$F$29*(G9+H9)*E9*B9/1000*worksheet!$F$11</f>
        <v>6.4823017278106523</v>
      </c>
      <c r="J9" s="46">
        <f t="shared" si="1"/>
        <v>25</v>
      </c>
      <c r="K9" s="44"/>
      <c r="L9" s="44">
        <v>1.22</v>
      </c>
      <c r="M9" s="44" t="str">
        <f>IF(worksheet!$F$10="Rapid charger",25," ")</f>
        <v xml:space="preserve"> </v>
      </c>
      <c r="N9" s="44">
        <f t="shared" si="4"/>
        <v>0.21920000000000006</v>
      </c>
      <c r="O9" s="44" t="e">
        <f>MIN(1000*worksheet!$F$37/M9,1000*worksheet!$F$42*N9/worksheet!$F$52/worksheet!$F$8)</f>
        <v>#VALUE!</v>
      </c>
      <c r="P9" s="44" t="e">
        <f>MIN(1000*(1-worksheet!$F$37/M9),worksheet!$F$8*O9/worksheet!$F$29/worksheet!$J$11)</f>
        <v>#VALUE!</v>
      </c>
      <c r="Q9" s="44" t="e">
        <f t="shared" si="2"/>
        <v>#VALUE!</v>
      </c>
      <c r="R9" s="44" t="e">
        <f>S9-worksheet!$F$8*O9/worksheet!$F$42/1000</f>
        <v>#VALUE!</v>
      </c>
      <c r="S9" s="44">
        <f>N9/worksheet!$F$52</f>
        <v>1.1241025641025644</v>
      </c>
      <c r="T9" s="44" t="e">
        <f>0.5*worksheet!$F$62/100*worksheet!$F$29*(R9+S9)*P9*M9/1000*worksheet!$J$11</f>
        <v>#VALUE!</v>
      </c>
      <c r="U9" s="44"/>
      <c r="V9" s="44"/>
      <c r="W9" s="44"/>
      <c r="X9" s="44"/>
      <c r="Y9" s="44"/>
      <c r="Z9" s="44"/>
    </row>
    <row r="10" spans="1:26">
      <c r="A10" s="44">
        <v>1.24</v>
      </c>
      <c r="B10" s="44">
        <v>25</v>
      </c>
      <c r="C10" s="44">
        <f t="shared" si="3"/>
        <v>0.22240000000000007</v>
      </c>
      <c r="D10" s="44">
        <f>MIN(1000*worksheet!$F$36/B10,1000*worksheet!$F$42*C10/worksheet!$F$52/worksheet!$F$8)</f>
        <v>2.2395524475524482</v>
      </c>
      <c r="E10" s="44">
        <f>MIN(1000*(1-worksheet!$F$36/B10),worksheet!$F$8*D10/worksheet!$F$29/worksheet!$F$11)</f>
        <v>5.0275667189952911</v>
      </c>
      <c r="F10" s="44" t="str">
        <f t="shared" si="0"/>
        <v>DCM</v>
      </c>
      <c r="G10" s="44">
        <f>H10-worksheet!$F$8*D10/worksheet!$F$42/1000</f>
        <v>0</v>
      </c>
      <c r="H10" s="44">
        <f>C10/worksheet!$F$52</f>
        <v>1.1405128205128208</v>
      </c>
      <c r="I10" s="44">
        <f>0.5*worksheet!$F$62/100*worksheet!$F$29*(G10+H10)*E10*B10/1000*worksheet!$F$11</f>
        <v>6.6729475029585821</v>
      </c>
      <c r="J10" s="46">
        <f t="shared" si="1"/>
        <v>25</v>
      </c>
      <c r="K10" s="44"/>
      <c r="L10" s="44">
        <v>1.24</v>
      </c>
      <c r="M10" s="44" t="str">
        <f>IF(worksheet!$F$10="Rapid charger",25," ")</f>
        <v xml:space="preserve"> </v>
      </c>
      <c r="N10" s="44">
        <f t="shared" si="4"/>
        <v>0.22240000000000007</v>
      </c>
      <c r="O10" s="44" t="e">
        <f>MIN(1000*worksheet!$F$37/M10,1000*worksheet!$F$42*N10/worksheet!$F$52/worksheet!$F$8)</f>
        <v>#VALUE!</v>
      </c>
      <c r="P10" s="44" t="e">
        <f>MIN(1000*(1-worksheet!$F$37/M10),worksheet!$F$8*O10/worksheet!$F$29/worksheet!$J$11)</f>
        <v>#VALUE!</v>
      </c>
      <c r="Q10" s="44" t="e">
        <f t="shared" si="2"/>
        <v>#VALUE!</v>
      </c>
      <c r="R10" s="44" t="e">
        <f>S10-worksheet!$F$8*O10/worksheet!$F$42/1000</f>
        <v>#VALUE!</v>
      </c>
      <c r="S10" s="44">
        <f>N10/worksheet!$F$52</f>
        <v>1.1405128205128208</v>
      </c>
      <c r="T10" s="44" t="e">
        <f>0.5*worksheet!$F$62/100*worksheet!$F$29*(R10+S10)*P10*M10/1000*worksheet!$J$11</f>
        <v>#VALUE!</v>
      </c>
      <c r="U10" s="44"/>
      <c r="V10" s="44"/>
      <c r="W10" s="44"/>
      <c r="X10" s="44"/>
      <c r="Y10" s="44"/>
      <c r="Z10" s="44"/>
    </row>
    <row r="11" spans="1:26">
      <c r="A11" s="44">
        <v>1.26</v>
      </c>
      <c r="B11" s="44">
        <v>25</v>
      </c>
      <c r="C11" s="44">
        <f t="shared" si="3"/>
        <v>0.22560000000000008</v>
      </c>
      <c r="D11" s="44">
        <f>MIN(1000*worksheet!$F$36/B11,1000*worksheet!$F$42*C11/worksheet!$F$52/worksheet!$F$8)</f>
        <v>2.2717762237762247</v>
      </c>
      <c r="E11" s="44">
        <f>MIN(1000*(1-worksheet!$F$36/B11),worksheet!$F$8*D11/worksheet!$F$29/worksheet!$F$11)</f>
        <v>5.0999058084772395</v>
      </c>
      <c r="F11" s="44" t="str">
        <f t="shared" si="0"/>
        <v>DCM</v>
      </c>
      <c r="G11" s="44">
        <f>H11-worksheet!$F$8*D11/worksheet!$F$42/1000</f>
        <v>0</v>
      </c>
      <c r="H11" s="44">
        <f>C11/worksheet!$F$52</f>
        <v>1.1569230769230774</v>
      </c>
      <c r="I11" s="44">
        <f>0.5*worksheet!$F$62/100*worksheet!$F$29*(G11+H11)*E11*B11/1000*worksheet!$F$11</f>
        <v>6.8663562603550341</v>
      </c>
      <c r="J11" s="46">
        <f t="shared" si="1"/>
        <v>25</v>
      </c>
      <c r="K11" s="44"/>
      <c r="L11" s="44">
        <v>1.26</v>
      </c>
      <c r="M11" s="44" t="str">
        <f>IF(worksheet!$F$10="Rapid charger",25," ")</f>
        <v xml:space="preserve"> </v>
      </c>
      <c r="N11" s="44">
        <f t="shared" si="4"/>
        <v>0.22560000000000008</v>
      </c>
      <c r="O11" s="44" t="e">
        <f>MIN(1000*worksheet!$F$37/M11,1000*worksheet!$F$42*N11/worksheet!$F$52/worksheet!$F$8)</f>
        <v>#VALUE!</v>
      </c>
      <c r="P11" s="44" t="e">
        <f>MIN(1000*(1-worksheet!$F$37/M11),worksheet!$F$8*O11/worksheet!$F$29/worksheet!$J$11)</f>
        <v>#VALUE!</v>
      </c>
      <c r="Q11" s="44" t="e">
        <f t="shared" si="2"/>
        <v>#VALUE!</v>
      </c>
      <c r="R11" s="44" t="e">
        <f>S11-worksheet!$F$8*O11/worksheet!$F$42/1000</f>
        <v>#VALUE!</v>
      </c>
      <c r="S11" s="44">
        <f>N11/worksheet!$F$52</f>
        <v>1.1569230769230774</v>
      </c>
      <c r="T11" s="44" t="e">
        <f>0.5*worksheet!$F$62/100*worksheet!$F$29*(R11+S11)*P11*M11/1000*worksheet!$J$11</f>
        <v>#VALUE!</v>
      </c>
      <c r="U11" s="44"/>
      <c r="V11" s="44"/>
      <c r="W11" s="44"/>
      <c r="X11" s="44"/>
      <c r="Y11" s="44"/>
      <c r="Z11" s="44"/>
    </row>
    <row r="12" spans="1:26">
      <c r="A12" s="44">
        <v>1.28</v>
      </c>
      <c r="B12" s="44">
        <v>25</v>
      </c>
      <c r="C12" s="44">
        <f t="shared" si="3"/>
        <v>0.22880000000000009</v>
      </c>
      <c r="D12" s="44">
        <f>MIN(1000*worksheet!$F$36/B12,1000*worksheet!$F$42*C12/worksheet!$F$52/worksheet!$F$8)</f>
        <v>2.3040000000000012</v>
      </c>
      <c r="E12" s="44">
        <f>MIN(1000*(1-worksheet!$F$36/B12),worksheet!$F$8*D12/worksheet!$F$29/worksheet!$F$11)</f>
        <v>5.1722448979591871</v>
      </c>
      <c r="F12" s="44" t="str">
        <f t="shared" si="0"/>
        <v>DCM</v>
      </c>
      <c r="G12" s="44">
        <f>H12-worksheet!$F$8*D12/worksheet!$F$42/1000</f>
        <v>0</v>
      </c>
      <c r="H12" s="44">
        <f>C12/worksheet!$F$52</f>
        <v>1.1733333333333338</v>
      </c>
      <c r="I12" s="44">
        <f>0.5*worksheet!$F$62/100*worksheet!$F$29*(G12+H12)*E12*B12/1000*worksheet!$F$11</f>
        <v>7.0625280000000066</v>
      </c>
      <c r="J12" s="46">
        <f t="shared" si="1"/>
        <v>25</v>
      </c>
      <c r="K12" s="44"/>
      <c r="L12" s="44">
        <v>1.28</v>
      </c>
      <c r="M12" s="44" t="str">
        <f>IF(worksheet!$F$10="Rapid charger",25," ")</f>
        <v xml:space="preserve"> </v>
      </c>
      <c r="N12" s="44">
        <f t="shared" si="4"/>
        <v>0.22880000000000009</v>
      </c>
      <c r="O12" s="44" t="e">
        <f>MIN(1000*worksheet!$F$37/M12,1000*worksheet!$F$42*N12/worksheet!$F$52/worksheet!$F$8)</f>
        <v>#VALUE!</v>
      </c>
      <c r="P12" s="44" t="e">
        <f>MIN(1000*(1-worksheet!$F$37/M12),worksheet!$F$8*O12/worksheet!$F$29/worksheet!$J$11)</f>
        <v>#VALUE!</v>
      </c>
      <c r="Q12" s="44" t="e">
        <f t="shared" si="2"/>
        <v>#VALUE!</v>
      </c>
      <c r="R12" s="44" t="e">
        <f>S12-worksheet!$F$8*O12/worksheet!$F$42/1000</f>
        <v>#VALUE!</v>
      </c>
      <c r="S12" s="44">
        <f>N12/worksheet!$F$52</f>
        <v>1.1733333333333338</v>
      </c>
      <c r="T12" s="44" t="e">
        <f>0.5*worksheet!$F$62/100*worksheet!$F$29*(R12+S12)*P12*M12/1000*worksheet!$J$11</f>
        <v>#VALUE!</v>
      </c>
      <c r="U12" s="44"/>
      <c r="V12" s="44"/>
      <c r="W12" s="44"/>
      <c r="X12" s="44"/>
      <c r="Y12" s="44"/>
      <c r="Z12" s="44"/>
    </row>
    <row r="13" spans="1:26">
      <c r="A13" s="44">
        <v>1.3</v>
      </c>
      <c r="B13" s="44">
        <v>25</v>
      </c>
      <c r="C13" s="44">
        <f t="shared" si="3"/>
        <v>0.2320000000000001</v>
      </c>
      <c r="D13" s="44">
        <f>MIN(1000*worksheet!$F$36/B13,1000*worksheet!$F$42*C13/worksheet!$F$52/worksheet!$F$8)</f>
        <v>2.3362237762237772</v>
      </c>
      <c r="E13" s="44">
        <f>MIN(1000*(1-worksheet!$F$36/B13),worksheet!$F$8*D13/worksheet!$F$29/worksheet!$F$11)</f>
        <v>5.2445839874411329</v>
      </c>
      <c r="F13" s="44" t="str">
        <f t="shared" si="0"/>
        <v>DCM</v>
      </c>
      <c r="G13" s="44">
        <f>H13-worksheet!$F$8*D13/worksheet!$F$42/1000</f>
        <v>0</v>
      </c>
      <c r="H13" s="44">
        <f>C13/worksheet!$F$52</f>
        <v>1.1897435897435902</v>
      </c>
      <c r="I13" s="44">
        <f>0.5*worksheet!$F$62/100*worksheet!$F$29*(G13+H13)*E13*B13/1000*worksheet!$F$11</f>
        <v>7.2614627218934968</v>
      </c>
      <c r="J13" s="46">
        <f t="shared" si="1"/>
        <v>25</v>
      </c>
      <c r="K13" s="44"/>
      <c r="L13" s="44">
        <v>1.3</v>
      </c>
      <c r="M13" s="44" t="str">
        <f>IF(worksheet!$F$10="Rapid charger",25," ")</f>
        <v xml:space="preserve"> </v>
      </c>
      <c r="N13" s="44">
        <f t="shared" si="4"/>
        <v>0.2320000000000001</v>
      </c>
      <c r="O13" s="44" t="e">
        <f>MIN(1000*worksheet!$F$37/M13,1000*worksheet!$F$42*N13/worksheet!$F$52/worksheet!$F$8)</f>
        <v>#VALUE!</v>
      </c>
      <c r="P13" s="44" t="e">
        <f>MIN(1000*(1-worksheet!$F$37/M13),worksheet!$F$8*O13/worksheet!$F$29/worksheet!$J$11)</f>
        <v>#VALUE!</v>
      </c>
      <c r="Q13" s="44" t="e">
        <f t="shared" si="2"/>
        <v>#VALUE!</v>
      </c>
      <c r="R13" s="44" t="e">
        <f>S13-worksheet!$F$8*O13/worksheet!$F$42/1000</f>
        <v>#VALUE!</v>
      </c>
      <c r="S13" s="44">
        <f>N13/worksheet!$F$52</f>
        <v>1.1897435897435902</v>
      </c>
      <c r="T13" s="44" t="e">
        <f>0.5*worksheet!$F$62/100*worksheet!$F$29*(R13+S13)*P13*M13/1000*worksheet!$J$11</f>
        <v>#VALUE!</v>
      </c>
      <c r="U13" s="44"/>
      <c r="V13" s="44"/>
      <c r="W13" s="44"/>
      <c r="X13" s="44"/>
      <c r="Y13" s="44"/>
      <c r="Z13" s="44"/>
    </row>
    <row r="14" spans="1:26">
      <c r="A14" s="44">
        <v>1.32</v>
      </c>
      <c r="B14" s="44">
        <v>25</v>
      </c>
      <c r="C14" s="44">
        <f t="shared" si="3"/>
        <v>0.2352000000000001</v>
      </c>
      <c r="D14" s="44">
        <f>MIN(1000*worksheet!$F$36/B14,1000*worksheet!$F$42*C14/worksheet!$F$52/worksheet!$F$8)</f>
        <v>2.3684475524475532</v>
      </c>
      <c r="E14" s="44">
        <f>MIN(1000*(1-worksheet!$F$36/B14),worksheet!$F$8*D14/worksheet!$F$29/worksheet!$F$11)</f>
        <v>5.3169230769230795</v>
      </c>
      <c r="F14" s="44" t="str">
        <f t="shared" si="0"/>
        <v>DCM</v>
      </c>
      <c r="G14" s="44">
        <f>H14-worksheet!$F$8*D14/worksheet!$F$42/1000</f>
        <v>0</v>
      </c>
      <c r="H14" s="44">
        <f>C14/worksheet!$F$52</f>
        <v>1.2061538461538466</v>
      </c>
      <c r="I14" s="44">
        <f>0.5*worksheet!$F$62/100*worksheet!$F$29*(G14+H14)*E14*B14/1000*worksheet!$F$11</f>
        <v>7.4631604260355093</v>
      </c>
      <c r="J14" s="46">
        <f t="shared" si="1"/>
        <v>25</v>
      </c>
      <c r="K14" s="44"/>
      <c r="L14" s="44">
        <v>1.32</v>
      </c>
      <c r="M14" s="44" t="str">
        <f>IF(worksheet!$F$10="Rapid charger",25," ")</f>
        <v xml:space="preserve"> </v>
      </c>
      <c r="N14" s="44">
        <f t="shared" si="4"/>
        <v>0.2352000000000001</v>
      </c>
      <c r="O14" s="44" t="e">
        <f>MIN(1000*worksheet!$F$37/M14,1000*worksheet!$F$42*N14/worksheet!$F$52/worksheet!$F$8)</f>
        <v>#VALUE!</v>
      </c>
      <c r="P14" s="44" t="e">
        <f>MIN(1000*(1-worksheet!$F$37/M14),worksheet!$F$8*O14/worksheet!$F$29/worksheet!$J$11)</f>
        <v>#VALUE!</v>
      </c>
      <c r="Q14" s="44" t="e">
        <f t="shared" si="2"/>
        <v>#VALUE!</v>
      </c>
      <c r="R14" s="44" t="e">
        <f>S14-worksheet!$F$8*O14/worksheet!$F$42/1000</f>
        <v>#VALUE!</v>
      </c>
      <c r="S14" s="44">
        <f>N14/worksheet!$F$52</f>
        <v>1.2061538461538466</v>
      </c>
      <c r="T14" s="44" t="e">
        <f>0.5*worksheet!$F$62/100*worksheet!$F$29*(R14+S14)*P14*M14/1000*worksheet!$J$11</f>
        <v>#VALUE!</v>
      </c>
      <c r="U14" s="44"/>
      <c r="V14" s="44"/>
      <c r="W14" s="44"/>
      <c r="X14" s="44"/>
      <c r="Y14" s="44"/>
      <c r="Z14" s="44"/>
    </row>
    <row r="15" spans="1:26">
      <c r="A15" s="44">
        <v>1.34</v>
      </c>
      <c r="B15" s="44">
        <v>25</v>
      </c>
      <c r="C15" s="44">
        <f t="shared" si="3"/>
        <v>0.23840000000000011</v>
      </c>
      <c r="D15" s="44">
        <f>MIN(1000*worksheet!$F$36/B15,1000*worksheet!$F$42*C15/worksheet!$F$52/worksheet!$F$8)</f>
        <v>2.4006713286713297</v>
      </c>
      <c r="E15" s="44">
        <f>MIN(1000*(1-worksheet!$F$36/B15),worksheet!$F$8*D15/worksheet!$F$29/worksheet!$F$11)</f>
        <v>5.3892621664050253</v>
      </c>
      <c r="F15" s="44" t="str">
        <f t="shared" si="0"/>
        <v>DCM</v>
      </c>
      <c r="G15" s="44">
        <f>H15-worksheet!$F$8*D15/worksheet!$F$42/1000</f>
        <v>0</v>
      </c>
      <c r="H15" s="44">
        <f>C15/worksheet!$F$52</f>
        <v>1.2225641025641032</v>
      </c>
      <c r="I15" s="44">
        <f>0.5*worksheet!$F$62/100*worksheet!$F$29*(G15+H15)*E15*B15/1000*worksheet!$F$11</f>
        <v>7.6676211124260423</v>
      </c>
      <c r="J15" s="46">
        <f t="shared" si="1"/>
        <v>25</v>
      </c>
      <c r="K15" s="44"/>
      <c r="L15" s="44">
        <v>1.34</v>
      </c>
      <c r="M15" s="44" t="str">
        <f>IF(worksheet!$F$10="Rapid charger",25," ")</f>
        <v xml:space="preserve"> </v>
      </c>
      <c r="N15" s="44">
        <f t="shared" si="4"/>
        <v>0.23840000000000011</v>
      </c>
      <c r="O15" s="44" t="e">
        <f>MIN(1000*worksheet!$F$37/M15,1000*worksheet!$F$42*N15/worksheet!$F$52/worksheet!$F$8)</f>
        <v>#VALUE!</v>
      </c>
      <c r="P15" s="44" t="e">
        <f>MIN(1000*(1-worksheet!$F$37/M15),worksheet!$F$8*O15/worksheet!$F$29/worksheet!$J$11)</f>
        <v>#VALUE!</v>
      </c>
      <c r="Q15" s="44" t="e">
        <f t="shared" si="2"/>
        <v>#VALUE!</v>
      </c>
      <c r="R15" s="44" t="e">
        <f>S15-worksheet!$F$8*O15/worksheet!$F$42/1000</f>
        <v>#VALUE!</v>
      </c>
      <c r="S15" s="44">
        <f>N15/worksheet!$F$52</f>
        <v>1.2225641025641032</v>
      </c>
      <c r="T15" s="44" t="e">
        <f>0.5*worksheet!$F$62/100*worksheet!$F$29*(R15+S15)*P15*M15/1000*worksheet!$J$11</f>
        <v>#VALUE!</v>
      </c>
      <c r="U15" s="44"/>
      <c r="V15" s="44"/>
      <c r="W15" s="44"/>
      <c r="X15" s="44"/>
      <c r="Y15" s="44"/>
      <c r="Z15" s="44"/>
    </row>
    <row r="16" spans="1:26">
      <c r="A16" s="44">
        <v>1.36</v>
      </c>
      <c r="B16" s="44">
        <v>25</v>
      </c>
      <c r="C16" s="44">
        <f t="shared" si="3"/>
        <v>0.24160000000000012</v>
      </c>
      <c r="D16" s="44">
        <f>MIN(1000*worksheet!$F$36/B16,1000*worksheet!$F$42*C16/worksheet!$F$52/worksheet!$F$8)</f>
        <v>2.4328951048951062</v>
      </c>
      <c r="E16" s="44">
        <f>MIN(1000*(1-worksheet!$F$36/B16),worksheet!$F$8*D16/worksheet!$F$29/worksheet!$F$11)</f>
        <v>5.4616012558869738</v>
      </c>
      <c r="F16" s="44" t="str">
        <f t="shared" si="0"/>
        <v>DCM</v>
      </c>
      <c r="G16" s="44">
        <f>H16-worksheet!$F$8*D16/worksheet!$F$42/1000</f>
        <v>0</v>
      </c>
      <c r="H16" s="44">
        <f>C16/worksheet!$F$52</f>
        <v>1.2389743589743596</v>
      </c>
      <c r="I16" s="44">
        <f>0.5*worksheet!$F$62/100*worksheet!$F$29*(G16+H16)*E16*B16/1000*worksheet!$F$11</f>
        <v>7.8748447810650983</v>
      </c>
      <c r="J16" s="46">
        <f t="shared" si="1"/>
        <v>25</v>
      </c>
      <c r="K16" s="44"/>
      <c r="L16" s="44">
        <v>1.36</v>
      </c>
      <c r="M16" s="44" t="str">
        <f>IF(worksheet!$F$10="Rapid charger",25," ")</f>
        <v xml:space="preserve"> </v>
      </c>
      <c r="N16" s="44">
        <f t="shared" si="4"/>
        <v>0.24160000000000012</v>
      </c>
      <c r="O16" s="44" t="e">
        <f>MIN(1000*worksheet!$F$37/M16,1000*worksheet!$F$42*N16/worksheet!$F$52/worksheet!$F$8)</f>
        <v>#VALUE!</v>
      </c>
      <c r="P16" s="44" t="e">
        <f>MIN(1000*(1-worksheet!$F$37/M16),worksheet!$F$8*O16/worksheet!$F$29/worksheet!$J$11)</f>
        <v>#VALUE!</v>
      </c>
      <c r="Q16" s="44" t="e">
        <f t="shared" si="2"/>
        <v>#VALUE!</v>
      </c>
      <c r="R16" s="44" t="e">
        <f>S16-worksheet!$F$8*O16/worksheet!$F$42/1000</f>
        <v>#VALUE!</v>
      </c>
      <c r="S16" s="44">
        <f>N16/worksheet!$F$52</f>
        <v>1.2389743589743596</v>
      </c>
      <c r="T16" s="44" t="e">
        <f>0.5*worksheet!$F$62/100*worksheet!$F$29*(R16+S16)*P16*M16/1000*worksheet!$J$11</f>
        <v>#VALUE!</v>
      </c>
      <c r="U16" s="44"/>
      <c r="V16" s="44"/>
      <c r="W16" s="44"/>
      <c r="X16" s="44"/>
      <c r="Y16" s="44"/>
      <c r="Z16" s="44"/>
    </row>
    <row r="17" spans="1:26">
      <c r="A17" s="44">
        <v>1.38</v>
      </c>
      <c r="B17" s="44">
        <v>25</v>
      </c>
      <c r="C17" s="44">
        <f t="shared" si="3"/>
        <v>0.24480000000000013</v>
      </c>
      <c r="D17" s="44">
        <f>MIN(1000*worksheet!$F$36/B17,1000*worksheet!$F$42*C17/worksheet!$F$52/worksheet!$F$8)</f>
        <v>2.4651188811188827</v>
      </c>
      <c r="E17" s="44">
        <f>MIN(1000*(1-worksheet!$F$36/B17),worksheet!$F$8*D17/worksheet!$F$29/worksheet!$F$11)</f>
        <v>5.5339403453689195</v>
      </c>
      <c r="F17" s="44" t="str">
        <f t="shared" si="0"/>
        <v>DCM</v>
      </c>
      <c r="G17" s="44">
        <f>H17-worksheet!$F$8*D17/worksheet!$F$42/1000</f>
        <v>0</v>
      </c>
      <c r="H17" s="44">
        <f>C17/worksheet!$F$52</f>
        <v>1.255384615384616</v>
      </c>
      <c r="I17" s="44">
        <f>0.5*worksheet!$F$62/100*worksheet!$F$29*(G17+H17)*E17*B17/1000*worksheet!$F$11</f>
        <v>8.0848314319526704</v>
      </c>
      <c r="J17" s="46">
        <f t="shared" si="1"/>
        <v>25</v>
      </c>
      <c r="K17" s="44"/>
      <c r="L17" s="44">
        <v>1.38</v>
      </c>
      <c r="M17" s="44" t="str">
        <f>IF(worksheet!$F$10="Rapid charger",25," ")</f>
        <v xml:space="preserve"> </v>
      </c>
      <c r="N17" s="44">
        <f t="shared" si="4"/>
        <v>0.24480000000000013</v>
      </c>
      <c r="O17" s="44" t="e">
        <f>MIN(1000*worksheet!$F$37/M17,1000*worksheet!$F$42*N17/worksheet!$F$52/worksheet!$F$8)</f>
        <v>#VALUE!</v>
      </c>
      <c r="P17" s="44" t="e">
        <f>MIN(1000*(1-worksheet!$F$37/M17),worksheet!$F$8*O17/worksheet!$F$29/worksheet!$J$11)</f>
        <v>#VALUE!</v>
      </c>
      <c r="Q17" s="44" t="e">
        <f t="shared" si="2"/>
        <v>#VALUE!</v>
      </c>
      <c r="R17" s="44" t="e">
        <f>S17-worksheet!$F$8*O17/worksheet!$F$42/1000</f>
        <v>#VALUE!</v>
      </c>
      <c r="S17" s="44">
        <f>N17/worksheet!$F$52</f>
        <v>1.255384615384616</v>
      </c>
      <c r="T17" s="44" t="e">
        <f>0.5*worksheet!$F$62/100*worksheet!$F$29*(R17+S17)*P17*M17/1000*worksheet!$J$11</f>
        <v>#VALUE!</v>
      </c>
      <c r="U17" s="44"/>
      <c r="V17" s="44"/>
      <c r="W17" s="44"/>
      <c r="X17" s="44"/>
      <c r="Y17" s="44"/>
      <c r="Z17" s="44"/>
    </row>
    <row r="18" spans="1:26">
      <c r="A18" s="44">
        <v>1.4</v>
      </c>
      <c r="B18" s="44">
        <v>25</v>
      </c>
      <c r="C18" s="44">
        <f t="shared" si="3"/>
        <v>0.24800000000000014</v>
      </c>
      <c r="D18" s="44">
        <f>MIN(1000*worksheet!$F$36/B18,1000*worksheet!$F$42*C18/worksheet!$F$52/worksheet!$F$8)</f>
        <v>2.4973426573426583</v>
      </c>
      <c r="E18" s="44">
        <f>MIN(1000*(1-worksheet!$F$36/B18),worksheet!$F$8*D18/worksheet!$F$29/worksheet!$F$11)</f>
        <v>5.6062794348508662</v>
      </c>
      <c r="F18" s="44" t="str">
        <f t="shared" si="0"/>
        <v>DCM</v>
      </c>
      <c r="G18" s="44">
        <f>H18-worksheet!$F$8*D18/worksheet!$F$42/1000</f>
        <v>0</v>
      </c>
      <c r="H18" s="44">
        <f>C18/worksheet!$F$52</f>
        <v>1.2717948717948724</v>
      </c>
      <c r="I18" s="44">
        <f>0.5*worksheet!$F$62/100*worksheet!$F$29*(G18+H18)*E18*B18/1000*worksheet!$F$11</f>
        <v>8.2975810650887638</v>
      </c>
      <c r="J18" s="46">
        <f t="shared" si="1"/>
        <v>25</v>
      </c>
      <c r="K18" s="44"/>
      <c r="L18" s="44">
        <v>1.4</v>
      </c>
      <c r="M18" s="44" t="str">
        <f>IF(worksheet!$F$10="Rapid charger",25," ")</f>
        <v xml:space="preserve"> </v>
      </c>
      <c r="N18" s="44">
        <f t="shared" si="4"/>
        <v>0.24800000000000014</v>
      </c>
      <c r="O18" s="44" t="e">
        <f>MIN(1000*worksheet!$F$37/M18,1000*worksheet!$F$42*N18/worksheet!$F$52/worksheet!$F$8)</f>
        <v>#VALUE!</v>
      </c>
      <c r="P18" s="44" t="e">
        <f>MIN(1000*(1-worksheet!$F$37/M18),worksheet!$F$8*O18/worksheet!$F$29/worksheet!$J$11)</f>
        <v>#VALUE!</v>
      </c>
      <c r="Q18" s="44" t="e">
        <f t="shared" si="2"/>
        <v>#VALUE!</v>
      </c>
      <c r="R18" s="44" t="e">
        <f>S18-worksheet!$F$8*O18/worksheet!$F$42/1000</f>
        <v>#VALUE!</v>
      </c>
      <c r="S18" s="44">
        <f>N18/worksheet!$F$52</f>
        <v>1.2717948717948724</v>
      </c>
      <c r="T18" s="44" t="e">
        <f>0.5*worksheet!$F$62/100*worksheet!$F$29*(R18+S18)*P18*M18/1000*worksheet!$J$11</f>
        <v>#VALUE!</v>
      </c>
      <c r="U18" s="44"/>
      <c r="V18" s="44"/>
      <c r="W18" s="44"/>
      <c r="X18" s="44"/>
      <c r="Y18" s="44"/>
      <c r="Z18" s="44"/>
    </row>
    <row r="19" spans="1:26">
      <c r="A19" s="44">
        <v>1.42</v>
      </c>
      <c r="B19" s="44">
        <v>25</v>
      </c>
      <c r="C19" s="44">
        <f t="shared" si="3"/>
        <v>0.25120000000000015</v>
      </c>
      <c r="D19" s="44">
        <f>MIN(1000*worksheet!$F$36/B19,1000*worksheet!$F$42*C19/worksheet!$F$52/worksheet!$F$8)</f>
        <v>2.5295664335664352</v>
      </c>
      <c r="E19" s="44">
        <f>MIN(1000*(1-worksheet!$F$36/B19),worksheet!$F$8*D19/worksheet!$F$29/worksheet!$F$11)</f>
        <v>5.6786185243328129</v>
      </c>
      <c r="F19" s="44" t="str">
        <f t="shared" si="0"/>
        <v>DCM</v>
      </c>
      <c r="G19" s="44">
        <f>H19-worksheet!$F$8*D19/worksheet!$F$42/1000</f>
        <v>0</v>
      </c>
      <c r="H19" s="44">
        <f>C19/worksheet!$F$52</f>
        <v>1.288205128205129</v>
      </c>
      <c r="I19" s="44">
        <f>0.5*worksheet!$F$62/100*worksheet!$F$29*(G19+H19)*E19*B19/1000*worksheet!$F$11</f>
        <v>8.5130936804733821</v>
      </c>
      <c r="J19" s="46">
        <f t="shared" si="1"/>
        <v>25</v>
      </c>
      <c r="K19" s="44"/>
      <c r="L19" s="44">
        <v>1.42</v>
      </c>
      <c r="M19" s="44" t="str">
        <f>IF(worksheet!$F$10="Rapid charger",25," ")</f>
        <v xml:space="preserve"> </v>
      </c>
      <c r="N19" s="44">
        <f t="shared" si="4"/>
        <v>0.25120000000000015</v>
      </c>
      <c r="O19" s="44" t="e">
        <f>MIN(1000*worksheet!$F$37/M19,1000*worksheet!$F$42*N19/worksheet!$F$52/worksheet!$F$8)</f>
        <v>#VALUE!</v>
      </c>
      <c r="P19" s="44" t="e">
        <f>MIN(1000*(1-worksheet!$F$37/M19),worksheet!$F$8*O19/worksheet!$F$29/worksheet!$J$11)</f>
        <v>#VALUE!</v>
      </c>
      <c r="Q19" s="44" t="e">
        <f t="shared" si="2"/>
        <v>#VALUE!</v>
      </c>
      <c r="R19" s="44" t="e">
        <f>S19-worksheet!$F$8*O19/worksheet!$F$42/1000</f>
        <v>#VALUE!</v>
      </c>
      <c r="S19" s="44">
        <f>N19/worksheet!$F$52</f>
        <v>1.288205128205129</v>
      </c>
      <c r="T19" s="44" t="e">
        <f>0.5*worksheet!$F$62/100*worksheet!$F$29*(R19+S19)*P19*M19/1000*worksheet!$J$11</f>
        <v>#VALUE!</v>
      </c>
      <c r="U19" s="44"/>
      <c r="V19" s="44"/>
      <c r="W19" s="44"/>
      <c r="X19" s="44"/>
      <c r="Y19" s="44"/>
      <c r="Z19" s="44"/>
    </row>
    <row r="20" spans="1:26">
      <c r="A20" s="44">
        <v>1.44</v>
      </c>
      <c r="B20" s="44">
        <v>25</v>
      </c>
      <c r="C20" s="44">
        <f t="shared" si="3"/>
        <v>0.25440000000000013</v>
      </c>
      <c r="D20" s="44">
        <f>MIN(1000*worksheet!$F$36/B20,1000*worksheet!$F$42*C20/worksheet!$F$52/worksheet!$F$8)</f>
        <v>2.5617902097902112</v>
      </c>
      <c r="E20" s="44">
        <f>MIN(1000*(1-worksheet!$F$36/B20),worksheet!$F$8*D20/worksheet!$F$29/worksheet!$F$11)</f>
        <v>5.7509576138147604</v>
      </c>
      <c r="F20" s="44" t="str">
        <f t="shared" si="0"/>
        <v>DCM</v>
      </c>
      <c r="G20" s="44">
        <f>H20-worksheet!$F$8*D20/worksheet!$F$42/1000</f>
        <v>0</v>
      </c>
      <c r="H20" s="44">
        <f>C20/worksheet!$F$52</f>
        <v>1.3046153846153852</v>
      </c>
      <c r="I20" s="44">
        <f>0.5*worksheet!$F$62/100*worksheet!$F$29*(G20+H20)*E20*B20/1000*worksheet!$F$11</f>
        <v>8.7313692781065164</v>
      </c>
      <c r="J20" s="46">
        <f t="shared" si="1"/>
        <v>25</v>
      </c>
      <c r="K20" s="44"/>
      <c r="L20" s="44">
        <v>1.44</v>
      </c>
      <c r="M20" s="44" t="str">
        <f>IF(worksheet!$F$10="Rapid charger",25," ")</f>
        <v xml:space="preserve"> </v>
      </c>
      <c r="N20" s="44">
        <f t="shared" si="4"/>
        <v>0.25440000000000013</v>
      </c>
      <c r="O20" s="44" t="e">
        <f>MIN(1000*worksheet!$F$37/M20,1000*worksheet!$F$42*N20/worksheet!$F$52/worksheet!$F$8)</f>
        <v>#VALUE!</v>
      </c>
      <c r="P20" s="44" t="e">
        <f>MIN(1000*(1-worksheet!$F$37/M20),worksheet!$F$8*O20/worksheet!$F$29/worksheet!$J$11)</f>
        <v>#VALUE!</v>
      </c>
      <c r="Q20" s="44" t="e">
        <f t="shared" si="2"/>
        <v>#VALUE!</v>
      </c>
      <c r="R20" s="44" t="e">
        <f>S20-worksheet!$F$8*O20/worksheet!$F$42/1000</f>
        <v>#VALUE!</v>
      </c>
      <c r="S20" s="44">
        <f>N20/worksheet!$F$52</f>
        <v>1.3046153846153852</v>
      </c>
      <c r="T20" s="44" t="e">
        <f>0.5*worksheet!$F$62/100*worksheet!$F$29*(R20+S20)*P20*M20/1000*worksheet!$J$11</f>
        <v>#VALUE!</v>
      </c>
      <c r="U20" s="44"/>
      <c r="V20" s="44"/>
      <c r="W20" s="44"/>
      <c r="X20" s="44"/>
      <c r="Y20" s="44"/>
      <c r="Z20" s="44"/>
    </row>
    <row r="21" spans="1:26">
      <c r="A21" s="44">
        <v>1.46</v>
      </c>
      <c r="B21" s="44">
        <v>25</v>
      </c>
      <c r="C21" s="44">
        <f t="shared" si="3"/>
        <v>0.25760000000000011</v>
      </c>
      <c r="D21" s="44">
        <f>MIN(1000*worksheet!$F$36/B21,1000*worksheet!$F$42*C21/worksheet!$F$52/worksheet!$F$8)</f>
        <v>2.5940139860139868</v>
      </c>
      <c r="E21" s="44">
        <f>MIN(1000*(1-worksheet!$F$36/B21),worksheet!$F$8*D21/worksheet!$F$29/worksheet!$F$11)</f>
        <v>5.8232967032967053</v>
      </c>
      <c r="F21" s="44" t="str">
        <f t="shared" si="0"/>
        <v>DCM</v>
      </c>
      <c r="G21" s="44">
        <f>H21-worksheet!$F$8*D21/worksheet!$F$42/1000</f>
        <v>0</v>
      </c>
      <c r="H21" s="44">
        <f>C21/worksheet!$F$52</f>
        <v>1.3210256410256416</v>
      </c>
      <c r="I21" s="44">
        <f>0.5*worksheet!$F$62/100*worksheet!$F$29*(G21+H21)*E21*B21/1000*worksheet!$F$11</f>
        <v>8.9524078579881721</v>
      </c>
      <c r="J21" s="46">
        <f t="shared" si="1"/>
        <v>25</v>
      </c>
      <c r="K21" s="44"/>
      <c r="L21" s="44">
        <v>1.46</v>
      </c>
      <c r="M21" s="44" t="str">
        <f>IF(worksheet!$F$10="Rapid charger",25," ")</f>
        <v xml:space="preserve"> </v>
      </c>
      <c r="N21" s="44">
        <f t="shared" si="4"/>
        <v>0.25760000000000011</v>
      </c>
      <c r="O21" s="44" t="e">
        <f>MIN(1000*worksheet!$F$37/M21,1000*worksheet!$F$42*N21/worksheet!$F$52/worksheet!$F$8)</f>
        <v>#VALUE!</v>
      </c>
      <c r="P21" s="44" t="e">
        <f>MIN(1000*(1-worksheet!$F$37/M21),worksheet!$F$8*O21/worksheet!$F$29/worksheet!$J$11)</f>
        <v>#VALUE!</v>
      </c>
      <c r="Q21" s="44" t="e">
        <f t="shared" si="2"/>
        <v>#VALUE!</v>
      </c>
      <c r="R21" s="44" t="e">
        <f>S21-worksheet!$F$8*O21/worksheet!$F$42/1000</f>
        <v>#VALUE!</v>
      </c>
      <c r="S21" s="44">
        <f>N21/worksheet!$F$52</f>
        <v>1.3210256410256416</v>
      </c>
      <c r="T21" s="44" t="e">
        <f>0.5*worksheet!$F$62/100*worksheet!$F$29*(R21+S21)*P21*M21/1000*worksheet!$J$11</f>
        <v>#VALUE!</v>
      </c>
      <c r="U21" s="44"/>
      <c r="V21" s="44"/>
      <c r="W21" s="44"/>
      <c r="X21" s="44"/>
      <c r="Y21" s="44"/>
      <c r="Z21" s="44"/>
    </row>
    <row r="22" spans="1:26">
      <c r="A22" s="44">
        <v>1.48</v>
      </c>
      <c r="B22" s="44">
        <v>25</v>
      </c>
      <c r="C22" s="44">
        <f t="shared" si="3"/>
        <v>0.26080000000000009</v>
      </c>
      <c r="D22" s="44">
        <f>MIN(1000*worksheet!$F$36/B22,1000*worksheet!$F$42*C22/worksheet!$F$52/worksheet!$F$8)</f>
        <v>2.6262377622377633</v>
      </c>
      <c r="E22" s="44">
        <f>MIN(1000*(1-worksheet!$F$36/B22),worksheet!$F$8*D22/worksheet!$F$29/worksheet!$F$11)</f>
        <v>5.8956357927786511</v>
      </c>
      <c r="F22" s="44" t="str">
        <f t="shared" si="0"/>
        <v>DCM</v>
      </c>
      <c r="G22" s="44">
        <f>H22-worksheet!$F$8*D22/worksheet!$F$42/1000</f>
        <v>0</v>
      </c>
      <c r="H22" s="44">
        <f>C22/worksheet!$F$52</f>
        <v>1.3374358974358977</v>
      </c>
      <c r="I22" s="44">
        <f>0.5*worksheet!$F$62/100*worksheet!$F$29*(G22+H22)*E22*B22/1000*worksheet!$F$11</f>
        <v>9.1762094201183473</v>
      </c>
      <c r="J22" s="46">
        <f t="shared" si="1"/>
        <v>25</v>
      </c>
      <c r="K22" s="44"/>
      <c r="L22" s="44">
        <v>1.48</v>
      </c>
      <c r="M22" s="44" t="str">
        <f>IF(worksheet!$F$10="Rapid charger",25," ")</f>
        <v xml:space="preserve"> </v>
      </c>
      <c r="N22" s="44">
        <f t="shared" si="4"/>
        <v>0.26080000000000009</v>
      </c>
      <c r="O22" s="44" t="e">
        <f>MIN(1000*worksheet!$F$37/M22,1000*worksheet!$F$42*N22/worksheet!$F$52/worksheet!$F$8)</f>
        <v>#VALUE!</v>
      </c>
      <c r="P22" s="44" t="e">
        <f>MIN(1000*(1-worksheet!$F$37/M22),worksheet!$F$8*O22/worksheet!$F$29/worksheet!$J$11)</f>
        <v>#VALUE!</v>
      </c>
      <c r="Q22" s="44" t="e">
        <f t="shared" si="2"/>
        <v>#VALUE!</v>
      </c>
      <c r="R22" s="44" t="e">
        <f>S22-worksheet!$F$8*O22/worksheet!$F$42/1000</f>
        <v>#VALUE!</v>
      </c>
      <c r="S22" s="44">
        <f>N22/worksheet!$F$52</f>
        <v>1.3374358974358977</v>
      </c>
      <c r="T22" s="44" t="e">
        <f>0.5*worksheet!$F$62/100*worksheet!$F$29*(R22+S22)*P22*M22/1000*worksheet!$J$11</f>
        <v>#VALUE!</v>
      </c>
      <c r="U22" s="44"/>
      <c r="V22" s="44"/>
      <c r="W22" s="44"/>
      <c r="X22" s="44"/>
      <c r="Y22" s="44"/>
      <c r="Z22" s="44"/>
    </row>
    <row r="23" spans="1:26">
      <c r="A23" s="44">
        <v>1.5</v>
      </c>
      <c r="B23" s="44">
        <v>25</v>
      </c>
      <c r="C23" s="44">
        <f t="shared" si="3"/>
        <v>0.26400000000000007</v>
      </c>
      <c r="D23" s="44">
        <f>MIN(1000*worksheet!$F$36/B23,1000*worksheet!$F$42*C23/worksheet!$F$52/worksheet!$F$8)</f>
        <v>2.6584615384615389</v>
      </c>
      <c r="E23" s="44">
        <f>MIN(1000*(1-worksheet!$F$36/B23),worksheet!$F$8*D23/worksheet!$F$29/worksheet!$F$11)</f>
        <v>5.9679748822605978</v>
      </c>
      <c r="F23" s="44" t="str">
        <f t="shared" si="0"/>
        <v>DCM</v>
      </c>
      <c r="G23" s="44">
        <f>H23-worksheet!$F$8*D23/worksheet!$F$42/1000</f>
        <v>0</v>
      </c>
      <c r="H23" s="44">
        <f>C23/worksheet!$F$52</f>
        <v>1.3538461538461541</v>
      </c>
      <c r="I23" s="44">
        <f>0.5*worksheet!$F$62/100*worksheet!$F$29*(G23+H23)*E23*B23/1000*worksheet!$F$11</f>
        <v>9.4027739644970474</v>
      </c>
      <c r="J23" s="46">
        <f t="shared" si="1"/>
        <v>25</v>
      </c>
      <c r="K23" s="44"/>
      <c r="L23" s="44">
        <v>1.5</v>
      </c>
      <c r="M23" s="44" t="str">
        <f>IF(worksheet!$F$10="Rapid charger",25," ")</f>
        <v xml:space="preserve"> </v>
      </c>
      <c r="N23" s="44">
        <f t="shared" si="4"/>
        <v>0.26400000000000007</v>
      </c>
      <c r="O23" s="44" t="e">
        <f>MIN(1000*worksheet!$F$37/M23,1000*worksheet!$F$42*N23/worksheet!$F$52/worksheet!$F$8)</f>
        <v>#VALUE!</v>
      </c>
      <c r="P23" s="44" t="e">
        <f>MIN(1000*(1-worksheet!$F$37/M23),worksheet!$F$8*O23/worksheet!$F$29/worksheet!$J$11)</f>
        <v>#VALUE!</v>
      </c>
      <c r="Q23" s="44" t="e">
        <f t="shared" si="2"/>
        <v>#VALUE!</v>
      </c>
      <c r="R23" s="44" t="e">
        <f>S23-worksheet!$F$8*O23/worksheet!$F$42/1000</f>
        <v>#VALUE!</v>
      </c>
      <c r="S23" s="44">
        <f>N23/worksheet!$F$52</f>
        <v>1.3538461538461541</v>
      </c>
      <c r="T23" s="44" t="e">
        <f>0.5*worksheet!$F$62/100*worksheet!$F$29*(R23+S23)*P23*M23/1000*worksheet!$J$11</f>
        <v>#VALUE!</v>
      </c>
      <c r="U23" s="44"/>
      <c r="V23" s="44"/>
      <c r="W23" s="44"/>
      <c r="X23" s="44"/>
      <c r="Y23" s="44"/>
      <c r="Z23" s="44"/>
    </row>
    <row r="24" spans="1:26">
      <c r="A24" s="44">
        <v>1.52</v>
      </c>
      <c r="B24" s="44">
        <v>25</v>
      </c>
      <c r="C24" s="44">
        <f t="shared" si="3"/>
        <v>0.26720000000000005</v>
      </c>
      <c r="D24" s="44">
        <f>MIN(1000*worksheet!$F$36/B24,1000*worksheet!$F$42*C24/worksheet!$F$52/worksheet!$F$8)</f>
        <v>2.6906853146853149</v>
      </c>
      <c r="E24" s="44">
        <f>MIN(1000*(1-worksheet!$F$36/B24),worksheet!$F$8*D24/worksheet!$F$29/worksheet!$F$11)</f>
        <v>6.0403139717425436</v>
      </c>
      <c r="F24" s="44" t="str">
        <f t="shared" si="0"/>
        <v>DCM</v>
      </c>
      <c r="G24" s="44">
        <f>H24-worksheet!$F$8*D24/worksheet!$F$42/1000</f>
        <v>0</v>
      </c>
      <c r="H24" s="44">
        <f>C24/worksheet!$F$52</f>
        <v>1.3702564102564105</v>
      </c>
      <c r="I24" s="44">
        <f>0.5*worksheet!$F$62/100*worksheet!$F$29*(G24+H24)*E24*B24/1000*worksheet!$F$11</f>
        <v>9.6321014911242635</v>
      </c>
      <c r="J24" s="46">
        <f t="shared" si="1"/>
        <v>25</v>
      </c>
      <c r="K24" s="44"/>
      <c r="L24" s="44">
        <v>1.52</v>
      </c>
      <c r="M24" s="44" t="str">
        <f>IF(worksheet!$F$10="Rapid charger",25," ")</f>
        <v xml:space="preserve"> </v>
      </c>
      <c r="N24" s="44">
        <f t="shared" si="4"/>
        <v>0.26720000000000005</v>
      </c>
      <c r="O24" s="44" t="e">
        <f>MIN(1000*worksheet!$F$37/M24,1000*worksheet!$F$42*N24/worksheet!$F$52/worksheet!$F$8)</f>
        <v>#VALUE!</v>
      </c>
      <c r="P24" s="44" t="e">
        <f>MIN(1000*(1-worksheet!$F$37/M24),worksheet!$F$8*O24/worksheet!$F$29/worksheet!$J$11)</f>
        <v>#VALUE!</v>
      </c>
      <c r="Q24" s="44" t="e">
        <f t="shared" si="2"/>
        <v>#VALUE!</v>
      </c>
      <c r="R24" s="44" t="e">
        <f>S24-worksheet!$F$8*O24/worksheet!$F$42/1000</f>
        <v>#VALUE!</v>
      </c>
      <c r="S24" s="44">
        <f>N24/worksheet!$F$52</f>
        <v>1.3702564102564105</v>
      </c>
      <c r="T24" s="44" t="e">
        <f>0.5*worksheet!$F$62/100*worksheet!$F$29*(R24+S24)*P24*M24/1000*worksheet!$J$11</f>
        <v>#VALUE!</v>
      </c>
      <c r="U24" s="44"/>
      <c r="V24" s="44"/>
      <c r="W24" s="44"/>
      <c r="X24" s="44"/>
      <c r="Y24" s="44"/>
      <c r="Z24" s="44"/>
    </row>
    <row r="25" spans="1:26">
      <c r="A25" s="44">
        <v>1.54</v>
      </c>
      <c r="B25" s="44">
        <v>25</v>
      </c>
      <c r="C25" s="44">
        <f t="shared" si="3"/>
        <v>0.27040000000000003</v>
      </c>
      <c r="D25" s="44">
        <f>MIN(1000*worksheet!$F$36/B25,1000*worksheet!$F$42*C25/worksheet!$F$52/worksheet!$F$8)</f>
        <v>2.7229090909090914</v>
      </c>
      <c r="E25" s="44">
        <f>MIN(1000*(1-worksheet!$F$36/B25),worksheet!$F$8*D25/worksheet!$F$29/worksheet!$F$11)</f>
        <v>6.1126530612244911</v>
      </c>
      <c r="F25" s="44" t="str">
        <f t="shared" si="0"/>
        <v>DCM</v>
      </c>
      <c r="G25" s="44">
        <f>H25-worksheet!$F$8*D25/worksheet!$F$42/1000</f>
        <v>0</v>
      </c>
      <c r="H25" s="44">
        <f>C25/worksheet!$F$52</f>
        <v>1.3866666666666667</v>
      </c>
      <c r="I25" s="44">
        <f>0.5*worksheet!$F$62/100*worksheet!$F$29*(G25+H25)*E25*B25/1000*worksheet!$F$11</f>
        <v>9.8641919999999992</v>
      </c>
      <c r="J25" s="46">
        <f t="shared" si="1"/>
        <v>25</v>
      </c>
      <c r="K25" s="44"/>
      <c r="L25" s="44">
        <v>1.54</v>
      </c>
      <c r="M25" s="44" t="str">
        <f>IF(worksheet!$F$10="Rapid charger",25," ")</f>
        <v xml:space="preserve"> </v>
      </c>
      <c r="N25" s="44">
        <f t="shared" si="4"/>
        <v>0.27040000000000003</v>
      </c>
      <c r="O25" s="44" t="e">
        <f>MIN(1000*worksheet!$F$37/M25,1000*worksheet!$F$42*N25/worksheet!$F$52/worksheet!$F$8)</f>
        <v>#VALUE!</v>
      </c>
      <c r="P25" s="44" t="e">
        <f>MIN(1000*(1-worksheet!$F$37/M25),worksheet!$F$8*O25/worksheet!$F$29/worksheet!$J$11)</f>
        <v>#VALUE!</v>
      </c>
      <c r="Q25" s="44" t="e">
        <f t="shared" si="2"/>
        <v>#VALUE!</v>
      </c>
      <c r="R25" s="44" t="e">
        <f>S25-worksheet!$F$8*O25/worksheet!$F$42/1000</f>
        <v>#VALUE!</v>
      </c>
      <c r="S25" s="44">
        <f>N25/worksheet!$F$52</f>
        <v>1.3866666666666667</v>
      </c>
      <c r="T25" s="44" t="e">
        <f>0.5*worksheet!$F$62/100*worksheet!$F$29*(R25+S25)*P25*M25/1000*worksheet!$J$11</f>
        <v>#VALUE!</v>
      </c>
      <c r="U25" s="44"/>
      <c r="V25" s="44"/>
      <c r="W25" s="44"/>
      <c r="X25" s="44"/>
      <c r="Y25" s="44"/>
      <c r="Z25" s="44"/>
    </row>
    <row r="26" spans="1:26">
      <c r="A26" s="44">
        <v>1.56</v>
      </c>
      <c r="B26" s="44">
        <v>25</v>
      </c>
      <c r="C26" s="44">
        <f t="shared" si="3"/>
        <v>0.27360000000000001</v>
      </c>
      <c r="D26" s="44">
        <f>MIN(1000*worksheet!$F$36/B26,1000*worksheet!$F$42*C26/worksheet!$F$52/worksheet!$F$8)</f>
        <v>2.755132867132867</v>
      </c>
      <c r="E26" s="44">
        <f>MIN(1000*(1-worksheet!$F$36/B26),worksheet!$F$8*D26/worksheet!$F$29/worksheet!$F$11)</f>
        <v>6.184992150706436</v>
      </c>
      <c r="F26" s="44" t="str">
        <f t="shared" si="0"/>
        <v>DCM</v>
      </c>
      <c r="G26" s="44">
        <f>H26-worksheet!$F$8*D26/worksheet!$F$42/1000</f>
        <v>0</v>
      </c>
      <c r="H26" s="44">
        <f>C26/worksheet!$F$52</f>
        <v>1.4030769230769231</v>
      </c>
      <c r="I26" s="44">
        <f>0.5*worksheet!$F$62/100*worksheet!$F$29*(G26+H26)*E26*B26/1000*worksheet!$F$11</f>
        <v>10.09904549112426</v>
      </c>
      <c r="J26" s="46">
        <f t="shared" si="1"/>
        <v>25</v>
      </c>
      <c r="K26" s="44"/>
      <c r="L26" s="44">
        <v>1.56</v>
      </c>
      <c r="M26" s="44" t="str">
        <f>IF(worksheet!$F$10="Rapid charger",25," ")</f>
        <v xml:space="preserve"> </v>
      </c>
      <c r="N26" s="44">
        <f t="shared" si="4"/>
        <v>0.27360000000000001</v>
      </c>
      <c r="O26" s="44" t="e">
        <f>MIN(1000*worksheet!$F$37/M26,1000*worksheet!$F$42*N26/worksheet!$F$52/worksheet!$F$8)</f>
        <v>#VALUE!</v>
      </c>
      <c r="P26" s="44" t="e">
        <f>MIN(1000*(1-worksheet!$F$37/M26),worksheet!$F$8*O26/worksheet!$F$29/worksheet!$J$11)</f>
        <v>#VALUE!</v>
      </c>
      <c r="Q26" s="44" t="e">
        <f t="shared" si="2"/>
        <v>#VALUE!</v>
      </c>
      <c r="R26" s="44" t="e">
        <f>S26-worksheet!$F$8*O26/worksheet!$F$42/1000</f>
        <v>#VALUE!</v>
      </c>
      <c r="S26" s="44">
        <f>N26/worksheet!$F$52</f>
        <v>1.4030769230769231</v>
      </c>
      <c r="T26" s="44" t="e">
        <f>0.5*worksheet!$F$62/100*worksheet!$F$29*(R26+S26)*P26*M26/1000*worksheet!$J$11</f>
        <v>#VALUE!</v>
      </c>
      <c r="U26" s="44"/>
      <c r="V26" s="44"/>
      <c r="W26" s="44"/>
      <c r="X26" s="44"/>
      <c r="Y26" s="44"/>
      <c r="Z26" s="44"/>
    </row>
    <row r="27" spans="1:26">
      <c r="A27" s="44">
        <v>1.58</v>
      </c>
      <c r="B27" s="44">
        <v>25</v>
      </c>
      <c r="C27" s="44">
        <f t="shared" si="3"/>
        <v>0.27679999999999999</v>
      </c>
      <c r="D27" s="44">
        <f>MIN(1000*worksheet!$F$36/B27,1000*worksheet!$F$42*C27/worksheet!$F$52/worksheet!$F$8)</f>
        <v>2.787356643356643</v>
      </c>
      <c r="E27" s="44">
        <f>MIN(1000*(1-worksheet!$F$36/B27),worksheet!$F$8*D27/worksheet!$F$29/worksheet!$F$11)</f>
        <v>6.2573312401883827</v>
      </c>
      <c r="F27" s="44" t="str">
        <f t="shared" si="0"/>
        <v>DCM</v>
      </c>
      <c r="G27" s="44">
        <f>H27-worksheet!$F$8*D27/worksheet!$F$42/1000</f>
        <v>0</v>
      </c>
      <c r="H27" s="44">
        <f>C27/worksheet!$F$52</f>
        <v>1.4194871794871793</v>
      </c>
      <c r="I27" s="44">
        <f>0.5*worksheet!$F$62/100*worksheet!$F$29*(G27+H27)*E27*B27/1000*worksheet!$F$11</f>
        <v>10.336661964497038</v>
      </c>
      <c r="J27" s="46">
        <f t="shared" si="1"/>
        <v>25</v>
      </c>
      <c r="K27" s="44"/>
      <c r="L27" s="44">
        <v>1.58</v>
      </c>
      <c r="M27" s="44" t="str">
        <f>IF(worksheet!$F$10="Rapid charger",25," ")</f>
        <v xml:space="preserve"> </v>
      </c>
      <c r="N27" s="44">
        <f t="shared" si="4"/>
        <v>0.27679999999999999</v>
      </c>
      <c r="O27" s="44" t="e">
        <f>MIN(1000*worksheet!$F$37/M27,1000*worksheet!$F$42*N27/worksheet!$F$52/worksheet!$F$8)</f>
        <v>#VALUE!</v>
      </c>
      <c r="P27" s="44" t="e">
        <f>MIN(1000*(1-worksheet!$F$37/M27),worksheet!$F$8*O27/worksheet!$F$29/worksheet!$J$11)</f>
        <v>#VALUE!</v>
      </c>
      <c r="Q27" s="44" t="e">
        <f t="shared" si="2"/>
        <v>#VALUE!</v>
      </c>
      <c r="R27" s="44" t="e">
        <f>S27-worksheet!$F$8*O27/worksheet!$F$42/1000</f>
        <v>#VALUE!</v>
      </c>
      <c r="S27" s="44">
        <f>N27/worksheet!$F$52</f>
        <v>1.4194871794871793</v>
      </c>
      <c r="T27" s="44" t="e">
        <f>0.5*worksheet!$F$62/100*worksheet!$F$29*(R27+S27)*P27*M27/1000*worksheet!$J$11</f>
        <v>#VALUE!</v>
      </c>
      <c r="U27" s="44"/>
      <c r="V27" s="44"/>
      <c r="W27" s="44"/>
      <c r="X27" s="44"/>
      <c r="Y27" s="44"/>
      <c r="Z27" s="44"/>
    </row>
    <row r="28" spans="1:26">
      <c r="A28" s="44">
        <v>1.6</v>
      </c>
      <c r="B28" s="44">
        <v>25</v>
      </c>
      <c r="C28" s="44">
        <v>0.28000000000000003</v>
      </c>
      <c r="D28" s="44">
        <f>MIN(1000*worksheet!$F$36/B28,1000*worksheet!$F$42*C28/worksheet!$F$52/worksheet!$F$8)</f>
        <v>2.8195804195804199</v>
      </c>
      <c r="E28" s="44">
        <f>MIN(1000*(1-worksheet!$F$36/B28),worksheet!$F$8*D28/worksheet!$F$29/worksheet!$F$11)</f>
        <v>6.3296703296703303</v>
      </c>
      <c r="F28" s="44" t="str">
        <f t="shared" si="0"/>
        <v>DCM</v>
      </c>
      <c r="G28" s="44">
        <f>H28-worksheet!$F$8*D28/worksheet!$F$42/1000</f>
        <v>0</v>
      </c>
      <c r="H28" s="44">
        <f>C28/worksheet!$F$52</f>
        <v>1.4358974358974359</v>
      </c>
      <c r="I28" s="44">
        <f>0.5*worksheet!$F$62/100*worksheet!$F$29*(G28+H28)*E28*B28/1000*worksheet!$F$11</f>
        <v>10.577041420118343</v>
      </c>
      <c r="J28" s="46">
        <f t="shared" si="1"/>
        <v>25</v>
      </c>
      <c r="K28" s="44"/>
      <c r="L28" s="44">
        <v>1.6</v>
      </c>
      <c r="M28" s="44" t="str">
        <f>IF(worksheet!$F$10="Rapid charger",25," ")</f>
        <v xml:space="preserve"> </v>
      </c>
      <c r="N28" s="44">
        <v>0.28000000000000003</v>
      </c>
      <c r="O28" s="44" t="e">
        <f>MIN(1000*worksheet!$F$37/M28,1000*worksheet!$F$42*N28/worksheet!$F$52/worksheet!$F$8)</f>
        <v>#VALUE!</v>
      </c>
      <c r="P28" s="44" t="e">
        <f>MIN(1000*(1-worksheet!$F$37/M28),worksheet!$F$8*O28/worksheet!$F$29/worksheet!$J$11)</f>
        <v>#VALUE!</v>
      </c>
      <c r="Q28" s="44" t="e">
        <f t="shared" si="2"/>
        <v>#VALUE!</v>
      </c>
      <c r="R28" s="44" t="e">
        <f>S28-worksheet!$F$8*O28/worksheet!$F$42/1000</f>
        <v>#VALUE!</v>
      </c>
      <c r="S28" s="44">
        <f>N28/worksheet!$F$52</f>
        <v>1.4358974358974359</v>
      </c>
      <c r="T28" s="44" t="e">
        <f>0.5*worksheet!$F$62/100*worksheet!$F$29*(R28+S28)*P28*M28/1000*worksheet!$J$11</f>
        <v>#VALUE!</v>
      </c>
      <c r="U28" s="44"/>
      <c r="V28" s="44"/>
      <c r="W28" s="44"/>
      <c r="X28" s="44"/>
      <c r="Y28" s="44"/>
      <c r="Z28" s="44"/>
    </row>
    <row r="29" spans="1:26">
      <c r="A29" s="44">
        <v>1.62</v>
      </c>
      <c r="B29" s="44">
        <f>IF(F9="Rapid charger",B28+($B$53-$B$28)/25,B28+($B$53-$B$28)/25)</f>
        <v>26.729411764705883</v>
      </c>
      <c r="C29" s="44">
        <v>0.28000000000000003</v>
      </c>
      <c r="D29" s="44">
        <f>MIN(1000*worksheet!$F$36/B29,1000*worksheet!$F$42*C29/worksheet!$F$52/worksheet!$F$8)</f>
        <v>2.8195804195804199</v>
      </c>
      <c r="E29" s="44">
        <f>MIN(1000*(1-worksheet!$F$36/B29),worksheet!$F$8*D29/worksheet!$F$29/worksheet!$F$11)</f>
        <v>6.3296703296703303</v>
      </c>
      <c r="F29" s="44" t="str">
        <f t="shared" si="0"/>
        <v>DCM</v>
      </c>
      <c r="G29" s="44">
        <f>H29-worksheet!$F$8*D29/worksheet!$F$42/1000</f>
        <v>0</v>
      </c>
      <c r="H29" s="44">
        <f>C29/worksheet!$F$52</f>
        <v>1.4358974358974359</v>
      </c>
      <c r="I29" s="44">
        <f>0.5*worksheet!$F$62/100*worksheet!$F$29*(G29+H29)*E29*B29/1000*worksheet!$F$11</f>
        <v>11.308723814827708</v>
      </c>
      <c r="J29" s="46">
        <f t="shared" si="1"/>
        <v>26.729411764705883</v>
      </c>
      <c r="K29" s="44"/>
      <c r="L29" s="44">
        <v>1.62</v>
      </c>
      <c r="M29" s="44" t="e">
        <f>M28+($M$53-$M$28)/25</f>
        <v>#VALUE!</v>
      </c>
      <c r="N29" s="44">
        <v>0.28000000000000003</v>
      </c>
      <c r="O29" s="44" t="e">
        <f>MIN(1000*worksheet!$F$37/M29,1000*worksheet!$F$42*N29/worksheet!$F$52/worksheet!$F$8)</f>
        <v>#VALUE!</v>
      </c>
      <c r="P29" s="44" t="e">
        <f>MIN(1000*(1-worksheet!$F$37/M29),worksheet!$F$8*O29/worksheet!$F$29/worksheet!$J$11)</f>
        <v>#VALUE!</v>
      </c>
      <c r="Q29" s="44" t="e">
        <f t="shared" si="2"/>
        <v>#VALUE!</v>
      </c>
      <c r="R29" s="44" t="e">
        <f>S29-worksheet!$F$8*O29/worksheet!$F$42/1000</f>
        <v>#VALUE!</v>
      </c>
      <c r="S29" s="44">
        <f>N29/worksheet!$F$52</f>
        <v>1.4358974358974359</v>
      </c>
      <c r="T29" s="44" t="e">
        <f>0.5*worksheet!$F$62/100*worksheet!$F$29*(R29+S29)*P29*M29/1000*worksheet!$J$11</f>
        <v>#VALUE!</v>
      </c>
      <c r="U29" s="44"/>
      <c r="V29" s="44"/>
      <c r="W29" s="44"/>
      <c r="X29" s="44"/>
      <c r="Y29" s="44"/>
      <c r="Z29" s="44"/>
    </row>
    <row r="30" spans="1:26">
      <c r="A30" s="44">
        <v>1.64</v>
      </c>
      <c r="B30" s="44">
        <f t="shared" ref="B30:B52" si="5">IF(F10="Rapid charger",B29+($B$53-$B$28)/25,B29+($B$53-$B$28)/25)</f>
        <v>28.458823529411767</v>
      </c>
      <c r="C30" s="44">
        <v>0.28000000000000003</v>
      </c>
      <c r="D30" s="44">
        <f>MIN(1000*worksheet!$F$36/B30,1000*worksheet!$F$42*C30/worksheet!$F$52/worksheet!$F$8)</f>
        <v>2.8195804195804199</v>
      </c>
      <c r="E30" s="44">
        <f>MIN(1000*(1-worksheet!$F$36/B30),worksheet!$F$8*D30/worksheet!$F$29/worksheet!$F$11)</f>
        <v>6.3296703296703303</v>
      </c>
      <c r="F30" s="44" t="str">
        <f t="shared" si="0"/>
        <v>DCM</v>
      </c>
      <c r="G30" s="44">
        <f>H30-worksheet!$F$8*D30/worksheet!$F$42/1000</f>
        <v>0</v>
      </c>
      <c r="H30" s="44">
        <f>C30/worksheet!$F$52</f>
        <v>1.4358974358974359</v>
      </c>
      <c r="I30" s="44">
        <f>0.5*worksheet!$F$62/100*worksheet!$F$29*(G30+H30)*E30*B30/1000*worksheet!$F$11</f>
        <v>12.040406209537071</v>
      </c>
      <c r="J30" s="46">
        <f t="shared" si="1"/>
        <v>28.458823529411767</v>
      </c>
      <c r="K30" s="44"/>
      <c r="L30" s="44">
        <v>1.64</v>
      </c>
      <c r="M30" s="44" t="e">
        <f t="shared" ref="M30:M52" si="6">M29+($M$53-$M$28)/25</f>
        <v>#VALUE!</v>
      </c>
      <c r="N30" s="44">
        <v>0.28000000000000003</v>
      </c>
      <c r="O30" s="44" t="e">
        <f>MIN(1000*worksheet!$F$37/M30,1000*worksheet!$F$42*N30/worksheet!$F$52/worksheet!$F$8)</f>
        <v>#VALUE!</v>
      </c>
      <c r="P30" s="44" t="e">
        <f>MIN(1000*(1-worksheet!$F$37/M30),worksheet!$F$8*O30/worksheet!$F$29/worksheet!$J$11)</f>
        <v>#VALUE!</v>
      </c>
      <c r="Q30" s="44" t="e">
        <f t="shared" si="2"/>
        <v>#VALUE!</v>
      </c>
      <c r="R30" s="44" t="e">
        <f>S30-worksheet!$F$8*O30/worksheet!$F$42/1000</f>
        <v>#VALUE!</v>
      </c>
      <c r="S30" s="44">
        <f>N30/worksheet!$F$52</f>
        <v>1.4358974358974359</v>
      </c>
      <c r="T30" s="44" t="e">
        <f>0.5*worksheet!$F$62/100*worksheet!$F$29*(R30+S30)*P30*M30/1000*worksheet!$J$11</f>
        <v>#VALUE!</v>
      </c>
      <c r="U30" s="44"/>
      <c r="V30" s="44"/>
      <c r="W30" s="44"/>
      <c r="X30" s="44"/>
      <c r="Y30" s="44"/>
      <c r="Z30" s="44"/>
    </row>
    <row r="31" spans="1:26">
      <c r="A31" s="44">
        <v>1.66</v>
      </c>
      <c r="B31" s="44">
        <f t="shared" si="5"/>
        <v>30.18823529411765</v>
      </c>
      <c r="C31" s="44">
        <v>0.28000000000000003</v>
      </c>
      <c r="D31" s="44">
        <f>MIN(1000*worksheet!$F$36/B31,1000*worksheet!$F$42*C31/worksheet!$F$52/worksheet!$F$8)</f>
        <v>2.8195804195804199</v>
      </c>
      <c r="E31" s="44">
        <f>MIN(1000*(1-worksheet!$F$36/B31),worksheet!$F$8*D31/worksheet!$F$29/worksheet!$F$11)</f>
        <v>6.3296703296703303</v>
      </c>
      <c r="F31" s="44" t="str">
        <f t="shared" si="0"/>
        <v>DCM</v>
      </c>
      <c r="G31" s="44">
        <f>H31-worksheet!$F$8*D31/worksheet!$F$42/1000</f>
        <v>0</v>
      </c>
      <c r="H31" s="44">
        <f>C31/worksheet!$F$52</f>
        <v>1.4358974358974359</v>
      </c>
      <c r="I31" s="44">
        <f>0.5*worksheet!$F$62/100*worksheet!$F$29*(G31+H31)*E31*B31/1000*worksheet!$F$11</f>
        <v>12.772088604246434</v>
      </c>
      <c r="J31" s="46">
        <f t="shared" si="1"/>
        <v>30.18823529411765</v>
      </c>
      <c r="K31" s="44"/>
      <c r="L31" s="44">
        <v>1.66</v>
      </c>
      <c r="M31" s="44" t="e">
        <f t="shared" si="6"/>
        <v>#VALUE!</v>
      </c>
      <c r="N31" s="44">
        <v>0.28000000000000003</v>
      </c>
      <c r="O31" s="44" t="e">
        <f>MIN(1000*worksheet!$F$37/M31,1000*worksheet!$F$42*N31/worksheet!$F$52/worksheet!$F$8)</f>
        <v>#VALUE!</v>
      </c>
      <c r="P31" s="44" t="e">
        <f>MIN(1000*(1-worksheet!$F$37/M31),worksheet!$F$8*O31/worksheet!$F$29/worksheet!$J$11)</f>
        <v>#VALUE!</v>
      </c>
      <c r="Q31" s="44" t="e">
        <f t="shared" si="2"/>
        <v>#VALUE!</v>
      </c>
      <c r="R31" s="44" t="e">
        <f>S31-worksheet!$F$8*O31/worksheet!$F$42/1000</f>
        <v>#VALUE!</v>
      </c>
      <c r="S31" s="44">
        <f>N31/worksheet!$F$52</f>
        <v>1.4358974358974359</v>
      </c>
      <c r="T31" s="44" t="e">
        <f>0.5*worksheet!$F$62/100*worksheet!$F$29*(R31+S31)*P31*M31/1000*worksheet!$J$11</f>
        <v>#VALUE!</v>
      </c>
      <c r="U31" s="44"/>
      <c r="V31" s="44"/>
      <c r="W31" s="44"/>
      <c r="X31" s="44"/>
      <c r="Y31" s="44"/>
      <c r="Z31" s="44"/>
    </row>
    <row r="32" spans="1:26">
      <c r="A32" s="44">
        <v>1.68</v>
      </c>
      <c r="B32" s="44">
        <f t="shared" si="5"/>
        <v>31.917647058823533</v>
      </c>
      <c r="C32" s="44">
        <v>0.28000000000000003</v>
      </c>
      <c r="D32" s="44">
        <f>MIN(1000*worksheet!$F$36/B32,1000*worksheet!$F$42*C32/worksheet!$F$52/worksheet!$F$8)</f>
        <v>2.8195804195804199</v>
      </c>
      <c r="E32" s="44">
        <f>MIN(1000*(1-worksheet!$F$36/B32),worksheet!$F$8*D32/worksheet!$F$29/worksheet!$F$11)</f>
        <v>6.3296703296703303</v>
      </c>
      <c r="F32" s="44" t="str">
        <f t="shared" si="0"/>
        <v>DCM</v>
      </c>
      <c r="G32" s="44">
        <f>H32-worksheet!$F$8*D32/worksheet!$F$42/1000</f>
        <v>0</v>
      </c>
      <c r="H32" s="44">
        <f>C32/worksheet!$F$52</f>
        <v>1.4358974358974359</v>
      </c>
      <c r="I32" s="44">
        <f>0.5*worksheet!$F$62/100*worksheet!$F$29*(G32+H32)*E32*B32/1000*worksheet!$F$11</f>
        <v>13.503770998955797</v>
      </c>
      <c r="J32" s="46">
        <f t="shared" si="1"/>
        <v>31.917647058823533</v>
      </c>
      <c r="K32" s="44"/>
      <c r="L32" s="44">
        <v>1.68</v>
      </c>
      <c r="M32" s="44" t="e">
        <f t="shared" si="6"/>
        <v>#VALUE!</v>
      </c>
      <c r="N32" s="44">
        <v>0.28000000000000003</v>
      </c>
      <c r="O32" s="44" t="e">
        <f>MIN(1000*worksheet!$F$37/M32,1000*worksheet!$F$42*N32/worksheet!$F$52/worksheet!$F$8)</f>
        <v>#VALUE!</v>
      </c>
      <c r="P32" s="44" t="e">
        <f>MIN(1000*(1-worksheet!$F$37/M32),worksheet!$F$8*O32/worksheet!$F$29/worksheet!$J$11)</f>
        <v>#VALUE!</v>
      </c>
      <c r="Q32" s="44" t="e">
        <f t="shared" si="2"/>
        <v>#VALUE!</v>
      </c>
      <c r="R32" s="44" t="e">
        <f>S32-worksheet!$F$8*O32/worksheet!$F$42/1000</f>
        <v>#VALUE!</v>
      </c>
      <c r="S32" s="44">
        <f>N32/worksheet!$F$52</f>
        <v>1.4358974358974359</v>
      </c>
      <c r="T32" s="44" t="e">
        <f>0.5*worksheet!$F$62/100*worksheet!$F$29*(R32+S32)*P32*M32/1000*worksheet!$J$11</f>
        <v>#VALUE!</v>
      </c>
      <c r="U32" s="44"/>
      <c r="V32" s="44"/>
      <c r="W32" s="44"/>
      <c r="X32" s="44"/>
      <c r="Y32" s="44"/>
      <c r="Z32" s="44"/>
    </row>
    <row r="33" spans="1:26">
      <c r="A33" s="44">
        <v>1.7</v>
      </c>
      <c r="B33" s="44">
        <f t="shared" si="5"/>
        <v>33.647058823529413</v>
      </c>
      <c r="C33" s="44">
        <v>0.28000000000000003</v>
      </c>
      <c r="D33" s="44">
        <f>MIN(1000*worksheet!$F$36/B33,1000*worksheet!$F$42*C33/worksheet!$F$52/worksheet!$F$8)</f>
        <v>2.8195804195804199</v>
      </c>
      <c r="E33" s="44">
        <f>MIN(1000*(1-worksheet!$F$36/B33),worksheet!$F$8*D33/worksheet!$F$29/worksheet!$F$11)</f>
        <v>6.3296703296703303</v>
      </c>
      <c r="F33" s="44" t="str">
        <f t="shared" si="0"/>
        <v>DCM</v>
      </c>
      <c r="G33" s="44">
        <f>H33-worksheet!$F$8*D33/worksheet!$F$42/1000</f>
        <v>0</v>
      </c>
      <c r="H33" s="44">
        <f>C33/worksheet!$F$52</f>
        <v>1.4358974358974359</v>
      </c>
      <c r="I33" s="44">
        <f>0.5*worksheet!$F$62/100*worksheet!$F$29*(G33+H33)*E33*B33/1000*worksheet!$F$11</f>
        <v>14.235453393665159</v>
      </c>
      <c r="J33" s="46">
        <f t="shared" si="1"/>
        <v>33.647058823529413</v>
      </c>
      <c r="K33" s="44"/>
      <c r="L33" s="44">
        <v>1.7</v>
      </c>
      <c r="M33" s="44" t="e">
        <f t="shared" si="6"/>
        <v>#VALUE!</v>
      </c>
      <c r="N33" s="44">
        <v>0.28000000000000003</v>
      </c>
      <c r="O33" s="44" t="e">
        <f>MIN(1000*worksheet!$F$37/M33,1000*worksheet!$F$42*N33/worksheet!$F$52/worksheet!$F$8)</f>
        <v>#VALUE!</v>
      </c>
      <c r="P33" s="44" t="e">
        <f>MIN(1000*(1-worksheet!$F$37/M33),worksheet!$F$8*O33/worksheet!$F$29/worksheet!$J$11)</f>
        <v>#VALUE!</v>
      </c>
      <c r="Q33" s="44" t="e">
        <f t="shared" si="2"/>
        <v>#VALUE!</v>
      </c>
      <c r="R33" s="44" t="e">
        <f>S33-worksheet!$F$8*O33/worksheet!$F$42/1000</f>
        <v>#VALUE!</v>
      </c>
      <c r="S33" s="44">
        <f>N33/worksheet!$F$52</f>
        <v>1.4358974358974359</v>
      </c>
      <c r="T33" s="44" t="e">
        <f>0.5*worksheet!$F$62/100*worksheet!$F$29*(R33+S33)*P33*M33/1000*worksheet!$J$11</f>
        <v>#VALUE!</v>
      </c>
      <c r="U33" s="44"/>
      <c r="V33" s="44"/>
      <c r="W33" s="44"/>
      <c r="X33" s="44"/>
      <c r="Y33" s="44"/>
      <c r="Z33" s="44"/>
    </row>
    <row r="34" spans="1:26">
      <c r="A34" s="44">
        <v>1.72</v>
      </c>
      <c r="B34" s="44">
        <f t="shared" si="5"/>
        <v>35.376470588235293</v>
      </c>
      <c r="C34" s="44">
        <v>0.28000000000000003</v>
      </c>
      <c r="D34" s="44">
        <f>MIN(1000*worksheet!$F$36/B34,1000*worksheet!$F$42*C34/worksheet!$F$52/worksheet!$F$8)</f>
        <v>2.8195804195804199</v>
      </c>
      <c r="E34" s="44">
        <f>MIN(1000*(1-worksheet!$F$36/B34),worksheet!$F$8*D34/worksheet!$F$29/worksheet!$F$11)</f>
        <v>6.3296703296703303</v>
      </c>
      <c r="F34" s="44" t="str">
        <f t="shared" si="0"/>
        <v>DCM</v>
      </c>
      <c r="G34" s="44">
        <f>H34-worksheet!$F$8*D34/worksheet!$F$42/1000</f>
        <v>0</v>
      </c>
      <c r="H34" s="44">
        <f>C34/worksheet!$F$52</f>
        <v>1.4358974358974359</v>
      </c>
      <c r="I34" s="44">
        <f>0.5*worksheet!$F$62/100*worksheet!$F$29*(G34+H34)*E34*B34/1000*worksheet!$F$11</f>
        <v>14.967135788374522</v>
      </c>
      <c r="J34" s="46">
        <f t="shared" si="1"/>
        <v>35.376470588235293</v>
      </c>
      <c r="K34" s="44"/>
      <c r="L34" s="44">
        <v>1.72</v>
      </c>
      <c r="M34" s="44" t="e">
        <f t="shared" si="6"/>
        <v>#VALUE!</v>
      </c>
      <c r="N34" s="44">
        <v>0.28000000000000003</v>
      </c>
      <c r="O34" s="44" t="e">
        <f>MIN(1000*worksheet!$F$37/M34,1000*worksheet!$F$42*N34/worksheet!$F$52/worksheet!$F$8)</f>
        <v>#VALUE!</v>
      </c>
      <c r="P34" s="44" t="e">
        <f>MIN(1000*(1-worksheet!$F$37/M34),worksheet!$F$8*O34/worksheet!$F$29/worksheet!$J$11)</f>
        <v>#VALUE!</v>
      </c>
      <c r="Q34" s="44" t="e">
        <f t="shared" si="2"/>
        <v>#VALUE!</v>
      </c>
      <c r="R34" s="44" t="e">
        <f>S34-worksheet!$F$8*O34/worksheet!$F$42/1000</f>
        <v>#VALUE!</v>
      </c>
      <c r="S34" s="44">
        <f>N34/worksheet!$F$52</f>
        <v>1.4358974358974359</v>
      </c>
      <c r="T34" s="44" t="e">
        <f>0.5*worksheet!$F$62/100*worksheet!$F$29*(R34+S34)*P34*M34/1000*worksheet!$J$11</f>
        <v>#VALUE!</v>
      </c>
      <c r="U34" s="44"/>
      <c r="V34" s="44"/>
      <c r="W34" s="44"/>
      <c r="X34" s="44"/>
      <c r="Y34" s="44"/>
      <c r="Z34" s="44"/>
    </row>
    <row r="35" spans="1:26">
      <c r="A35" s="44">
        <v>1.74</v>
      </c>
      <c r="B35" s="44">
        <f t="shared" si="5"/>
        <v>37.105882352941173</v>
      </c>
      <c r="C35" s="44">
        <v>0.28000000000000003</v>
      </c>
      <c r="D35" s="44">
        <f>MIN(1000*worksheet!$F$36/B35,1000*worksheet!$F$42*C35/worksheet!$F$52/worksheet!$F$8)</f>
        <v>2.8195804195804199</v>
      </c>
      <c r="E35" s="44">
        <f>MIN(1000*(1-worksheet!$F$36/B35),worksheet!$F$8*D35/worksheet!$F$29/worksheet!$F$11)</f>
        <v>6.3296703296703303</v>
      </c>
      <c r="F35" s="44" t="str">
        <f t="shared" si="0"/>
        <v>DCM</v>
      </c>
      <c r="G35" s="44">
        <f>H35-worksheet!$F$8*D35/worksheet!$F$42/1000</f>
        <v>0</v>
      </c>
      <c r="H35" s="44">
        <f>C35/worksheet!$F$52</f>
        <v>1.4358974358974359</v>
      </c>
      <c r="I35" s="44">
        <f>0.5*worksheet!$F$62/100*worksheet!$F$29*(G35+H35)*E35*B35/1000*worksheet!$F$11</f>
        <v>15.698818183083883</v>
      </c>
      <c r="J35" s="46">
        <f t="shared" si="1"/>
        <v>37.105882352941173</v>
      </c>
      <c r="K35" s="44"/>
      <c r="L35" s="44">
        <v>1.74</v>
      </c>
      <c r="M35" s="44" t="e">
        <f t="shared" si="6"/>
        <v>#VALUE!</v>
      </c>
      <c r="N35" s="44">
        <v>0.28000000000000003</v>
      </c>
      <c r="O35" s="44" t="e">
        <f>MIN(1000*worksheet!$F$37/M35,1000*worksheet!$F$42*N35/worksheet!$F$52/worksheet!$F$8)</f>
        <v>#VALUE!</v>
      </c>
      <c r="P35" s="44" t="e">
        <f>MIN(1000*(1-worksheet!$F$37/M35),worksheet!$F$8*O35/worksheet!$F$29/worksheet!$J$11)</f>
        <v>#VALUE!</v>
      </c>
      <c r="Q35" s="44" t="e">
        <f t="shared" si="2"/>
        <v>#VALUE!</v>
      </c>
      <c r="R35" s="44" t="e">
        <f>S35-worksheet!$F$8*O35/worksheet!$F$42/1000</f>
        <v>#VALUE!</v>
      </c>
      <c r="S35" s="44">
        <f>N35/worksheet!$F$52</f>
        <v>1.4358974358974359</v>
      </c>
      <c r="T35" s="44" t="e">
        <f>0.5*worksheet!$F$62/100*worksheet!$F$29*(R35+S35)*P35*M35/1000*worksheet!$J$11</f>
        <v>#VALUE!</v>
      </c>
      <c r="U35" s="44"/>
      <c r="V35" s="44"/>
      <c r="W35" s="44"/>
      <c r="X35" s="44"/>
      <c r="Y35" s="44"/>
      <c r="Z35" s="44"/>
    </row>
    <row r="36" spans="1:26">
      <c r="A36" s="44">
        <v>1.76</v>
      </c>
      <c r="B36" s="44">
        <f t="shared" si="5"/>
        <v>38.835294117647052</v>
      </c>
      <c r="C36" s="44">
        <v>0.28000000000000003</v>
      </c>
      <c r="D36" s="44">
        <f>MIN(1000*worksheet!$F$36/B36,1000*worksheet!$F$42*C36/worksheet!$F$52/worksheet!$F$8)</f>
        <v>2.8195804195804199</v>
      </c>
      <c r="E36" s="44">
        <f>MIN(1000*(1-worksheet!$F$36/B36),worksheet!$F$8*D36/worksheet!$F$29/worksheet!$F$11)</f>
        <v>6.3296703296703303</v>
      </c>
      <c r="F36" s="44" t="str">
        <f t="shared" si="0"/>
        <v>DCM</v>
      </c>
      <c r="G36" s="44">
        <f>H36-worksheet!$F$8*D36/worksheet!$F$42/1000</f>
        <v>0</v>
      </c>
      <c r="H36" s="44">
        <f>C36/worksheet!$F$52</f>
        <v>1.4358974358974359</v>
      </c>
      <c r="I36" s="44">
        <f>0.5*worksheet!$F$62/100*worksheet!$F$29*(G36+H36)*E36*B36/1000*worksheet!$F$11</f>
        <v>16.430500577793243</v>
      </c>
      <c r="J36" s="46">
        <f t="shared" si="1"/>
        <v>38.835294117647052</v>
      </c>
      <c r="K36" s="44"/>
      <c r="L36" s="44">
        <v>1.76</v>
      </c>
      <c r="M36" s="44" t="e">
        <f t="shared" si="6"/>
        <v>#VALUE!</v>
      </c>
      <c r="N36" s="44">
        <v>0.28000000000000003</v>
      </c>
      <c r="O36" s="44" t="e">
        <f>MIN(1000*worksheet!$F$37/M36,1000*worksheet!$F$42*N36/worksheet!$F$52/worksheet!$F$8)</f>
        <v>#VALUE!</v>
      </c>
      <c r="P36" s="44" t="e">
        <f>MIN(1000*(1-worksheet!$F$37/M36),worksheet!$F$8*O36/worksheet!$F$29/worksheet!$J$11)</f>
        <v>#VALUE!</v>
      </c>
      <c r="Q36" s="44" t="e">
        <f t="shared" si="2"/>
        <v>#VALUE!</v>
      </c>
      <c r="R36" s="44" t="e">
        <f>S36-worksheet!$F$8*O36/worksheet!$F$42/1000</f>
        <v>#VALUE!</v>
      </c>
      <c r="S36" s="44">
        <f>N36/worksheet!$F$52</f>
        <v>1.4358974358974359</v>
      </c>
      <c r="T36" s="44" t="e">
        <f>0.5*worksheet!$F$62/100*worksheet!$F$29*(R36+S36)*P36*M36/1000*worksheet!$J$11</f>
        <v>#VALUE!</v>
      </c>
      <c r="U36" s="44"/>
      <c r="V36" s="44"/>
      <c r="W36" s="44"/>
      <c r="X36" s="44"/>
      <c r="Y36" s="44"/>
      <c r="Z36" s="44"/>
    </row>
    <row r="37" spans="1:26">
      <c r="A37" s="44">
        <v>1.78</v>
      </c>
      <c r="B37" s="44">
        <f t="shared" si="5"/>
        <v>40.564705882352932</v>
      </c>
      <c r="C37" s="44">
        <v>0.28000000000000003</v>
      </c>
      <c r="D37" s="44">
        <f>MIN(1000*worksheet!$F$36/B37,1000*worksheet!$F$42*C37/worksheet!$F$52/worksheet!$F$8)</f>
        <v>2.8195804195804199</v>
      </c>
      <c r="E37" s="44">
        <f>MIN(1000*(1-worksheet!$F$36/B37),worksheet!$F$8*D37/worksheet!$F$29/worksheet!$F$11)</f>
        <v>6.3296703296703303</v>
      </c>
      <c r="F37" s="44" t="str">
        <f t="shared" si="0"/>
        <v>DCM</v>
      </c>
      <c r="G37" s="44">
        <f>H37-worksheet!$F$8*D37/worksheet!$F$42/1000</f>
        <v>0</v>
      </c>
      <c r="H37" s="44">
        <f>C37/worksheet!$F$52</f>
        <v>1.4358974358974359</v>
      </c>
      <c r="I37" s="44">
        <f>0.5*worksheet!$F$62/100*worksheet!$F$29*(G37+H37)*E37*B37/1000*worksheet!$F$11</f>
        <v>17.16218297250261</v>
      </c>
      <c r="J37" s="46">
        <f t="shared" si="1"/>
        <v>40.564705882352932</v>
      </c>
      <c r="K37" s="44"/>
      <c r="L37" s="44">
        <v>1.78</v>
      </c>
      <c r="M37" s="44" t="e">
        <f t="shared" si="6"/>
        <v>#VALUE!</v>
      </c>
      <c r="N37" s="44">
        <v>0.28000000000000003</v>
      </c>
      <c r="O37" s="44" t="e">
        <f>MIN(1000*worksheet!$F$37/M37,1000*worksheet!$F$42*N37/worksheet!$F$52/worksheet!$F$8)</f>
        <v>#VALUE!</v>
      </c>
      <c r="P37" s="44" t="e">
        <f>MIN(1000*(1-worksheet!$F$37/M37),worksheet!$F$8*O37/worksheet!$F$29/worksheet!$J$11)</f>
        <v>#VALUE!</v>
      </c>
      <c r="Q37" s="44" t="e">
        <f t="shared" si="2"/>
        <v>#VALUE!</v>
      </c>
      <c r="R37" s="44" t="e">
        <f>S37-worksheet!$F$8*O37/worksheet!$F$42/1000</f>
        <v>#VALUE!</v>
      </c>
      <c r="S37" s="44">
        <f>N37/worksheet!$F$52</f>
        <v>1.4358974358974359</v>
      </c>
      <c r="T37" s="44" t="e">
        <f>0.5*worksheet!$F$62/100*worksheet!$F$29*(R37+S37)*P37*M37/1000*worksheet!$J$11</f>
        <v>#VALUE!</v>
      </c>
      <c r="U37" s="44"/>
      <c r="V37" s="44"/>
      <c r="W37" s="44"/>
      <c r="X37" s="44"/>
      <c r="Y37" s="44"/>
      <c r="Z37" s="44"/>
    </row>
    <row r="38" spans="1:26">
      <c r="A38" s="44">
        <v>1.8</v>
      </c>
      <c r="B38" s="44">
        <f t="shared" si="5"/>
        <v>42.294117647058812</v>
      </c>
      <c r="C38" s="44">
        <v>0.28000000000000003</v>
      </c>
      <c r="D38" s="44">
        <f>MIN(1000*worksheet!$F$36/B38,1000*worksheet!$F$42*C38/worksheet!$F$52/worksheet!$F$8)</f>
        <v>2.8195804195804199</v>
      </c>
      <c r="E38" s="44">
        <f>MIN(1000*(1-worksheet!$F$36/B38),worksheet!$F$8*D38/worksheet!$F$29/worksheet!$F$11)</f>
        <v>6.3296703296703303</v>
      </c>
      <c r="F38" s="44" t="str">
        <f t="shared" si="0"/>
        <v>DCM</v>
      </c>
      <c r="G38" s="44">
        <f>H38-worksheet!$F$8*D38/worksheet!$F$42/1000</f>
        <v>0</v>
      </c>
      <c r="H38" s="44">
        <f>C38/worksheet!$F$52</f>
        <v>1.4358974358974359</v>
      </c>
      <c r="I38" s="44">
        <f>0.5*worksheet!$F$62/100*worksheet!$F$29*(G38+H38)*E38*B38/1000*worksheet!$F$11</f>
        <v>17.893865367211969</v>
      </c>
      <c r="J38" s="46">
        <f t="shared" si="1"/>
        <v>42.294117647058812</v>
      </c>
      <c r="K38" s="44"/>
      <c r="L38" s="44">
        <v>1.8</v>
      </c>
      <c r="M38" s="44" t="e">
        <f t="shared" si="6"/>
        <v>#VALUE!</v>
      </c>
      <c r="N38" s="44">
        <v>0.28000000000000003</v>
      </c>
      <c r="O38" s="44" t="e">
        <f>MIN(1000*worksheet!$F$37/M38,1000*worksheet!$F$42*N38/worksheet!$F$52/worksheet!$F$8)</f>
        <v>#VALUE!</v>
      </c>
      <c r="P38" s="44" t="e">
        <f>MIN(1000*(1-worksheet!$F$37/M38),worksheet!$F$8*O38/worksheet!$F$29/worksheet!$J$11)</f>
        <v>#VALUE!</v>
      </c>
      <c r="Q38" s="44" t="e">
        <f t="shared" si="2"/>
        <v>#VALUE!</v>
      </c>
      <c r="R38" s="44" t="e">
        <f>S38-worksheet!$F$8*O38/worksheet!$F$42/1000</f>
        <v>#VALUE!</v>
      </c>
      <c r="S38" s="44">
        <f>N38/worksheet!$F$52</f>
        <v>1.4358974358974359</v>
      </c>
      <c r="T38" s="44" t="e">
        <f>0.5*worksheet!$F$62/100*worksheet!$F$29*(R38+S38)*P38*M38/1000*worksheet!$J$11</f>
        <v>#VALUE!</v>
      </c>
      <c r="U38" s="44"/>
      <c r="V38" s="44"/>
      <c r="W38" s="44"/>
      <c r="X38" s="44"/>
      <c r="Y38" s="44"/>
      <c r="Z38" s="44"/>
    </row>
    <row r="39" spans="1:26">
      <c r="A39" s="44">
        <v>1.82</v>
      </c>
      <c r="B39" s="44">
        <f t="shared" si="5"/>
        <v>44.023529411764692</v>
      </c>
      <c r="C39" s="44">
        <v>0.28000000000000003</v>
      </c>
      <c r="D39" s="44">
        <f>MIN(1000*worksheet!$F$36/B39,1000*worksheet!$F$42*C39/worksheet!$F$52/worksheet!$F$8)</f>
        <v>2.8195804195804199</v>
      </c>
      <c r="E39" s="44">
        <f>MIN(1000*(1-worksheet!$F$36/B39),worksheet!$F$8*D39/worksheet!$F$29/worksheet!$F$11)</f>
        <v>6.3296703296703303</v>
      </c>
      <c r="F39" s="44" t="str">
        <f t="shared" si="0"/>
        <v>DCM</v>
      </c>
      <c r="G39" s="44">
        <f>H39-worksheet!$F$8*D39/worksheet!$F$42/1000</f>
        <v>0</v>
      </c>
      <c r="H39" s="44">
        <f>C39/worksheet!$F$52</f>
        <v>1.4358974358974359</v>
      </c>
      <c r="I39" s="44">
        <f>0.5*worksheet!$F$62/100*worksheet!$F$29*(G39+H39)*E39*B39/1000*worksheet!$F$11</f>
        <v>18.625547761921329</v>
      </c>
      <c r="J39" s="46">
        <f t="shared" si="1"/>
        <v>44.023529411764692</v>
      </c>
      <c r="K39" s="44"/>
      <c r="L39" s="44">
        <v>1.82</v>
      </c>
      <c r="M39" s="44" t="e">
        <f t="shared" si="6"/>
        <v>#VALUE!</v>
      </c>
      <c r="N39" s="44">
        <v>0.28000000000000003</v>
      </c>
      <c r="O39" s="44" t="e">
        <f>MIN(1000*worksheet!$F$37/M39,1000*worksheet!$F$42*N39/worksheet!$F$52/worksheet!$F$8)</f>
        <v>#VALUE!</v>
      </c>
      <c r="P39" s="44" t="e">
        <f>MIN(1000*(1-worksheet!$F$37/M39),worksheet!$F$8*O39/worksheet!$F$29/worksheet!$J$11)</f>
        <v>#VALUE!</v>
      </c>
      <c r="Q39" s="44" t="e">
        <f t="shared" si="2"/>
        <v>#VALUE!</v>
      </c>
      <c r="R39" s="44" t="e">
        <f>S39-worksheet!$F$8*O39/worksheet!$F$42/1000</f>
        <v>#VALUE!</v>
      </c>
      <c r="S39" s="44">
        <f>N39/worksheet!$F$52</f>
        <v>1.4358974358974359</v>
      </c>
      <c r="T39" s="44" t="e">
        <f>0.5*worksheet!$F$62/100*worksheet!$F$29*(R39+S39)*P39*M39/1000*worksheet!$J$11</f>
        <v>#VALUE!</v>
      </c>
      <c r="U39" s="44"/>
      <c r="V39" s="44"/>
      <c r="W39" s="44"/>
      <c r="X39" s="44"/>
      <c r="Y39" s="44"/>
      <c r="Z39" s="44"/>
    </row>
    <row r="40" spans="1:26">
      <c r="A40" s="44">
        <v>1.84</v>
      </c>
      <c r="B40" s="44">
        <f t="shared" si="5"/>
        <v>45.752941176470571</v>
      </c>
      <c r="C40" s="44">
        <v>0.28000000000000003</v>
      </c>
      <c r="D40" s="44">
        <f>MIN(1000*worksheet!$F$36/B40,1000*worksheet!$F$42*C40/worksheet!$F$52/worksheet!$F$8)</f>
        <v>2.8195804195804199</v>
      </c>
      <c r="E40" s="44">
        <f>MIN(1000*(1-worksheet!$F$36/B40),worksheet!$F$8*D40/worksheet!$F$29/worksheet!$F$11)</f>
        <v>6.3296703296703303</v>
      </c>
      <c r="F40" s="44" t="str">
        <f t="shared" si="0"/>
        <v>DCM</v>
      </c>
      <c r="G40" s="44">
        <f>H40-worksheet!$F$8*D40/worksheet!$F$42/1000</f>
        <v>0</v>
      </c>
      <c r="H40" s="44">
        <f>C40/worksheet!$F$52</f>
        <v>1.4358974358974359</v>
      </c>
      <c r="I40" s="44">
        <f>0.5*worksheet!$F$62/100*worksheet!$F$29*(G40+H40)*E40*B40/1000*worksheet!$F$11</f>
        <v>19.357230156630695</v>
      </c>
      <c r="J40" s="46">
        <f t="shared" si="1"/>
        <v>45.752941176470571</v>
      </c>
      <c r="K40" s="44"/>
      <c r="L40" s="44">
        <v>1.84</v>
      </c>
      <c r="M40" s="44" t="e">
        <f t="shared" si="6"/>
        <v>#VALUE!</v>
      </c>
      <c r="N40" s="44">
        <v>0.28000000000000003</v>
      </c>
      <c r="O40" s="44" t="e">
        <f>MIN(1000*worksheet!$F$37/M40,1000*worksheet!$F$42*N40/worksheet!$F$52/worksheet!$F$8)</f>
        <v>#VALUE!</v>
      </c>
      <c r="P40" s="44" t="e">
        <f>MIN(1000*(1-worksheet!$F$37/M40),worksheet!$F$8*O40/worksheet!$F$29/worksheet!$J$11)</f>
        <v>#VALUE!</v>
      </c>
      <c r="Q40" s="44" t="e">
        <f t="shared" si="2"/>
        <v>#VALUE!</v>
      </c>
      <c r="R40" s="44" t="e">
        <f>S40-worksheet!$F$8*O40/worksheet!$F$42/1000</f>
        <v>#VALUE!</v>
      </c>
      <c r="S40" s="44">
        <f>N40/worksheet!$F$52</f>
        <v>1.4358974358974359</v>
      </c>
      <c r="T40" s="44" t="e">
        <f>0.5*worksheet!$F$62/100*worksheet!$F$29*(R40+S40)*P40*M40/1000*worksheet!$J$11</f>
        <v>#VALUE!</v>
      </c>
      <c r="U40" s="44"/>
      <c r="V40" s="44"/>
      <c r="W40" s="44"/>
      <c r="X40" s="44"/>
      <c r="Y40" s="44"/>
      <c r="Z40" s="44"/>
    </row>
    <row r="41" spans="1:26">
      <c r="A41" s="44">
        <v>1.86</v>
      </c>
      <c r="B41" s="44">
        <f t="shared" si="5"/>
        <v>47.482352941176451</v>
      </c>
      <c r="C41" s="44">
        <v>0.28000000000000003</v>
      </c>
      <c r="D41" s="44">
        <f>MIN(1000*worksheet!$F$36/B41,1000*worksheet!$F$42*C41/worksheet!$F$52/worksheet!$F$8)</f>
        <v>2.8195804195804199</v>
      </c>
      <c r="E41" s="44">
        <f>MIN(1000*(1-worksheet!$F$36/B41),worksheet!$F$8*D41/worksheet!$F$29/worksheet!$F$11)</f>
        <v>6.3296703296703303</v>
      </c>
      <c r="F41" s="44" t="str">
        <f t="shared" si="0"/>
        <v>DCM</v>
      </c>
      <c r="G41" s="44">
        <f>H41-worksheet!$F$8*D41/worksheet!$F$42/1000</f>
        <v>0</v>
      </c>
      <c r="H41" s="44">
        <f>C41/worksheet!$F$52</f>
        <v>1.4358974358974359</v>
      </c>
      <c r="I41" s="44">
        <f>0.5*worksheet!$F$62/100*worksheet!$F$29*(G41+H41)*E41*B41/1000*worksheet!$F$11</f>
        <v>20.088912551340055</v>
      </c>
      <c r="J41" s="46">
        <f t="shared" si="1"/>
        <v>47.482352941176451</v>
      </c>
      <c r="K41" s="44"/>
      <c r="L41" s="44">
        <v>1.86</v>
      </c>
      <c r="M41" s="44" t="e">
        <f t="shared" si="6"/>
        <v>#VALUE!</v>
      </c>
      <c r="N41" s="44">
        <v>0.28000000000000003</v>
      </c>
      <c r="O41" s="44" t="e">
        <f>MIN(1000*worksheet!$F$37/M41,1000*worksheet!$F$42*N41/worksheet!$F$52/worksheet!$F$8)</f>
        <v>#VALUE!</v>
      </c>
      <c r="P41" s="44" t="e">
        <f>MIN(1000*(1-worksheet!$F$37/M41),worksheet!$F$8*O41/worksheet!$F$29/worksheet!$J$11)</f>
        <v>#VALUE!</v>
      </c>
      <c r="Q41" s="44" t="e">
        <f t="shared" si="2"/>
        <v>#VALUE!</v>
      </c>
      <c r="R41" s="44" t="e">
        <f>S41-worksheet!$F$8*O41/worksheet!$F$42/1000</f>
        <v>#VALUE!</v>
      </c>
      <c r="S41" s="44">
        <f>N41/worksheet!$F$52</f>
        <v>1.4358974358974359</v>
      </c>
      <c r="T41" s="44" t="e">
        <f>0.5*worksheet!$F$62/100*worksheet!$F$29*(R41+S41)*P41*M41/1000*worksheet!$J$11</f>
        <v>#VALUE!</v>
      </c>
      <c r="U41" s="44"/>
      <c r="V41" s="44"/>
      <c r="W41" s="44"/>
      <c r="X41" s="44"/>
      <c r="Y41" s="44"/>
      <c r="Z41" s="44"/>
    </row>
    <row r="42" spans="1:26">
      <c r="A42" s="44">
        <v>1.88</v>
      </c>
      <c r="B42" s="44">
        <f t="shared" si="5"/>
        <v>49.211764705882331</v>
      </c>
      <c r="C42" s="44">
        <v>0.28000000000000003</v>
      </c>
      <c r="D42" s="44">
        <f>MIN(1000*worksheet!$F$36/B42,1000*worksheet!$F$42*C42/worksheet!$F$52/worksheet!$F$8)</f>
        <v>2.8195804195804199</v>
      </c>
      <c r="E42" s="44">
        <f>MIN(1000*(1-worksheet!$F$36/B42),worksheet!$F$8*D42/worksheet!$F$29/worksheet!$F$11)</f>
        <v>6.3296703296703303</v>
      </c>
      <c r="F42" s="44" t="str">
        <f t="shared" si="0"/>
        <v>DCM</v>
      </c>
      <c r="G42" s="44">
        <f>H42-worksheet!$F$8*D42/worksheet!$F$42/1000</f>
        <v>0</v>
      </c>
      <c r="H42" s="44">
        <f>C42/worksheet!$F$52</f>
        <v>1.4358974358974359</v>
      </c>
      <c r="I42" s="44">
        <f>0.5*worksheet!$F$62/100*worksheet!$F$29*(G42+H42)*E42*B42/1000*worksheet!$F$11</f>
        <v>20.820594946049418</v>
      </c>
      <c r="J42" s="46">
        <f t="shared" si="1"/>
        <v>49.211764705882331</v>
      </c>
      <c r="K42" s="44"/>
      <c r="L42" s="44">
        <v>1.88</v>
      </c>
      <c r="M42" s="44" t="e">
        <f t="shared" si="6"/>
        <v>#VALUE!</v>
      </c>
      <c r="N42" s="44">
        <v>0.28000000000000003</v>
      </c>
      <c r="O42" s="44" t="e">
        <f>MIN(1000*worksheet!$F$37/M42,1000*worksheet!$F$42*N42/worksheet!$F$52/worksheet!$F$8)</f>
        <v>#VALUE!</v>
      </c>
      <c r="P42" s="44" t="e">
        <f>MIN(1000*(1-worksheet!$F$37/M42),worksheet!$F$8*O42/worksheet!$F$29/worksheet!$J$11)</f>
        <v>#VALUE!</v>
      </c>
      <c r="Q42" s="44" t="e">
        <f t="shared" si="2"/>
        <v>#VALUE!</v>
      </c>
      <c r="R42" s="44" t="e">
        <f>S42-worksheet!$F$8*O42/worksheet!$F$42/1000</f>
        <v>#VALUE!</v>
      </c>
      <c r="S42" s="44">
        <f>N42/worksheet!$F$52</f>
        <v>1.4358974358974359</v>
      </c>
      <c r="T42" s="44" t="e">
        <f>0.5*worksheet!$F$62/100*worksheet!$F$29*(R42+S42)*P42*M42/1000*worksheet!$J$11</f>
        <v>#VALUE!</v>
      </c>
      <c r="U42" s="44"/>
      <c r="V42" s="44"/>
      <c r="W42" s="44"/>
      <c r="X42" s="44"/>
      <c r="Y42" s="44"/>
      <c r="Z42" s="44"/>
    </row>
    <row r="43" spans="1:26">
      <c r="A43" s="44">
        <v>1.9</v>
      </c>
      <c r="B43" s="44">
        <f t="shared" si="5"/>
        <v>50.941176470588211</v>
      </c>
      <c r="C43" s="44">
        <v>0.28000000000000003</v>
      </c>
      <c r="D43" s="44">
        <f>MIN(1000*worksheet!$F$36/B43,1000*worksheet!$F$42*C43/worksheet!$F$52/worksheet!$F$8)</f>
        <v>2.8195804195804199</v>
      </c>
      <c r="E43" s="44">
        <f>MIN(1000*(1-worksheet!$F$36/B43),worksheet!$F$8*D43/worksheet!$F$29/worksheet!$F$11)</f>
        <v>6.3296703296703303</v>
      </c>
      <c r="F43" s="44" t="str">
        <f t="shared" si="0"/>
        <v>DCM</v>
      </c>
      <c r="G43" s="44">
        <f>H43-worksheet!$F$8*D43/worksheet!$F$42/1000</f>
        <v>0</v>
      </c>
      <c r="H43" s="44">
        <f>C43/worksheet!$F$52</f>
        <v>1.4358974358974359</v>
      </c>
      <c r="I43" s="44">
        <f>0.5*worksheet!$F$62/100*worksheet!$F$29*(G43+H43)*E43*B43/1000*worksheet!$F$11</f>
        <v>21.552277340758778</v>
      </c>
      <c r="J43" s="46">
        <f t="shared" si="1"/>
        <v>50.941176470588211</v>
      </c>
      <c r="K43" s="44"/>
      <c r="L43" s="44">
        <v>1.9</v>
      </c>
      <c r="M43" s="44" t="e">
        <f t="shared" si="6"/>
        <v>#VALUE!</v>
      </c>
      <c r="N43" s="44">
        <v>0.28000000000000003</v>
      </c>
      <c r="O43" s="44" t="e">
        <f>MIN(1000*worksheet!$F$37/M43,1000*worksheet!$F$42*N43/worksheet!$F$52/worksheet!$F$8)</f>
        <v>#VALUE!</v>
      </c>
      <c r="P43" s="44" t="e">
        <f>MIN(1000*(1-worksheet!$F$37/M43),worksheet!$F$8*O43/worksheet!$F$29/worksheet!$J$11)</f>
        <v>#VALUE!</v>
      </c>
      <c r="Q43" s="44" t="e">
        <f t="shared" si="2"/>
        <v>#VALUE!</v>
      </c>
      <c r="R43" s="44" t="e">
        <f>S43-worksheet!$F$8*O43/worksheet!$F$42/1000</f>
        <v>#VALUE!</v>
      </c>
      <c r="S43" s="44">
        <f>N43/worksheet!$F$52</f>
        <v>1.4358974358974359</v>
      </c>
      <c r="T43" s="44" t="e">
        <f>0.5*worksheet!$F$62/100*worksheet!$F$29*(R43+S43)*P43*M43/1000*worksheet!$J$11</f>
        <v>#VALUE!</v>
      </c>
      <c r="U43" s="44"/>
      <c r="V43" s="44"/>
      <c r="W43" s="44"/>
      <c r="X43" s="44"/>
      <c r="Y43" s="44"/>
      <c r="Z43" s="44"/>
    </row>
    <row r="44" spans="1:26">
      <c r="A44" s="44">
        <v>1.92</v>
      </c>
      <c r="B44" s="44">
        <f t="shared" si="5"/>
        <v>52.67058823529409</v>
      </c>
      <c r="C44" s="44">
        <v>0.28000000000000003</v>
      </c>
      <c r="D44" s="44">
        <f>MIN(1000*worksheet!$F$36/B44,1000*worksheet!$F$42*C44/worksheet!$F$52/worksheet!$F$8)</f>
        <v>2.8195804195804199</v>
      </c>
      <c r="E44" s="44">
        <f>MIN(1000*(1-worksheet!$F$36/B44),worksheet!$F$8*D44/worksheet!$F$29/worksheet!$F$11)</f>
        <v>6.3296703296703303</v>
      </c>
      <c r="F44" s="44" t="str">
        <f t="shared" si="0"/>
        <v>DCM</v>
      </c>
      <c r="G44" s="44">
        <f>H44-worksheet!$F$8*D44/worksheet!$F$42/1000</f>
        <v>0</v>
      </c>
      <c r="H44" s="44">
        <f>C44/worksheet!$F$52</f>
        <v>1.4358974358974359</v>
      </c>
      <c r="I44" s="44">
        <f>0.5*worksheet!$F$62/100*worksheet!$F$29*(G44+H44)*E44*B44/1000*worksheet!$F$11</f>
        <v>22.283959735468137</v>
      </c>
      <c r="J44" s="46">
        <f t="shared" si="1"/>
        <v>52.67058823529409</v>
      </c>
      <c r="K44" s="44"/>
      <c r="L44" s="44">
        <v>1.92</v>
      </c>
      <c r="M44" s="44" t="e">
        <f t="shared" si="6"/>
        <v>#VALUE!</v>
      </c>
      <c r="N44" s="44">
        <v>0.28000000000000003</v>
      </c>
      <c r="O44" s="44" t="e">
        <f>MIN(1000*worksheet!$F$37/M44,1000*worksheet!$F$42*N44/worksheet!$F$52/worksheet!$F$8)</f>
        <v>#VALUE!</v>
      </c>
      <c r="P44" s="44" t="e">
        <f>MIN(1000*(1-worksheet!$F$37/M44),worksheet!$F$8*O44/worksheet!$F$29/worksheet!$J$11)</f>
        <v>#VALUE!</v>
      </c>
      <c r="Q44" s="44" t="e">
        <f t="shared" si="2"/>
        <v>#VALUE!</v>
      </c>
      <c r="R44" s="44" t="e">
        <f>S44-worksheet!$F$8*O44/worksheet!$F$42/1000</f>
        <v>#VALUE!</v>
      </c>
      <c r="S44" s="44">
        <f>N44/worksheet!$F$52</f>
        <v>1.4358974358974359</v>
      </c>
      <c r="T44" s="44" t="e">
        <f>0.5*worksheet!$F$62/100*worksheet!$F$29*(R44+S44)*P44*M44/1000*worksheet!$J$11</f>
        <v>#VALUE!</v>
      </c>
      <c r="U44" s="44"/>
      <c r="V44" s="44"/>
      <c r="W44" s="44"/>
      <c r="X44" s="44"/>
      <c r="Y44" s="44"/>
      <c r="Z44" s="44"/>
    </row>
    <row r="45" spans="1:26">
      <c r="A45" s="44">
        <v>1.94</v>
      </c>
      <c r="B45" s="44">
        <f t="shared" si="5"/>
        <v>54.39999999999997</v>
      </c>
      <c r="C45" s="44">
        <v>0.28000000000000003</v>
      </c>
      <c r="D45" s="44">
        <f>MIN(1000*worksheet!$F$36/B45,1000*worksheet!$F$42*C45/worksheet!$F$52/worksheet!$F$8)</f>
        <v>2.8195804195804199</v>
      </c>
      <c r="E45" s="44">
        <f>MIN(1000*(1-worksheet!$F$36/B45),worksheet!$F$8*D45/worksheet!$F$29/worksheet!$F$11)</f>
        <v>6.3296703296703303</v>
      </c>
      <c r="F45" s="44" t="str">
        <f t="shared" si="0"/>
        <v>DCM</v>
      </c>
      <c r="G45" s="44">
        <f>H45-worksheet!$F$8*D45/worksheet!$F$42/1000</f>
        <v>0</v>
      </c>
      <c r="H45" s="44">
        <f>C45/worksheet!$F$52</f>
        <v>1.4358974358974359</v>
      </c>
      <c r="I45" s="44">
        <f>0.5*worksheet!$F$62/100*worksheet!$F$29*(G45+H45)*E45*B45/1000*worksheet!$F$11</f>
        <v>23.015642130177504</v>
      </c>
      <c r="J45" s="46">
        <f t="shared" si="1"/>
        <v>54.39999999999997</v>
      </c>
      <c r="K45" s="44"/>
      <c r="L45" s="44">
        <v>1.94</v>
      </c>
      <c r="M45" s="44" t="e">
        <f t="shared" si="6"/>
        <v>#VALUE!</v>
      </c>
      <c r="N45" s="44">
        <v>0.28000000000000003</v>
      </c>
      <c r="O45" s="44" t="e">
        <f>MIN(1000*worksheet!$F$37/M45,1000*worksheet!$F$42*N45/worksheet!$F$52/worksheet!$F$8)</f>
        <v>#VALUE!</v>
      </c>
      <c r="P45" s="44" t="e">
        <f>MIN(1000*(1-worksheet!$F$37/M45),worksheet!$F$8*O45/worksheet!$F$29/worksheet!$J$11)</f>
        <v>#VALUE!</v>
      </c>
      <c r="Q45" s="44" t="e">
        <f t="shared" si="2"/>
        <v>#VALUE!</v>
      </c>
      <c r="R45" s="44" t="e">
        <f>S45-worksheet!$F$8*O45/worksheet!$F$42/1000</f>
        <v>#VALUE!</v>
      </c>
      <c r="S45" s="44">
        <f>N45/worksheet!$F$52</f>
        <v>1.4358974358974359</v>
      </c>
      <c r="T45" s="44" t="e">
        <f>0.5*worksheet!$F$62/100*worksheet!$F$29*(R45+S45)*P45*M45/1000*worksheet!$J$11</f>
        <v>#VALUE!</v>
      </c>
      <c r="U45" s="44"/>
      <c r="V45" s="44"/>
      <c r="W45" s="44"/>
      <c r="X45" s="44"/>
      <c r="Y45" s="44"/>
      <c r="Z45" s="44"/>
    </row>
    <row r="46" spans="1:26">
      <c r="A46" s="44">
        <v>1.96</v>
      </c>
      <c r="B46" s="44">
        <f t="shared" si="5"/>
        <v>56.12941176470585</v>
      </c>
      <c r="C46" s="44">
        <v>0.28000000000000003</v>
      </c>
      <c r="D46" s="44">
        <f>MIN(1000*worksheet!$F$36/B46,1000*worksheet!$F$42*C46/worksheet!$F$52/worksheet!$F$8)</f>
        <v>2.8195804195804199</v>
      </c>
      <c r="E46" s="44">
        <f>MIN(1000*(1-worksheet!$F$36/B46),worksheet!$F$8*D46/worksheet!$F$29/worksheet!$F$11)</f>
        <v>6.3296703296703303</v>
      </c>
      <c r="F46" s="44" t="str">
        <f t="shared" si="0"/>
        <v>DCM</v>
      </c>
      <c r="G46" s="44">
        <f>H46-worksheet!$F$8*D46/worksheet!$F$42/1000</f>
        <v>0</v>
      </c>
      <c r="H46" s="44">
        <f>C46/worksheet!$F$52</f>
        <v>1.4358974358974359</v>
      </c>
      <c r="I46" s="44">
        <f>0.5*worksheet!$F$62/100*worksheet!$F$29*(G46+H46)*E46*B46/1000*worksheet!$F$11</f>
        <v>23.747324524886864</v>
      </c>
      <c r="J46" s="46">
        <f t="shared" si="1"/>
        <v>56.12941176470585</v>
      </c>
      <c r="K46" s="44"/>
      <c r="L46" s="44">
        <v>1.96</v>
      </c>
      <c r="M46" s="44" t="e">
        <f t="shared" si="6"/>
        <v>#VALUE!</v>
      </c>
      <c r="N46" s="44">
        <v>0.28000000000000003</v>
      </c>
      <c r="O46" s="44" t="e">
        <f>MIN(1000*worksheet!$F$37/M46,1000*worksheet!$F$42*N46/worksheet!$F$52/worksheet!$F$8)</f>
        <v>#VALUE!</v>
      </c>
      <c r="P46" s="44" t="e">
        <f>MIN(1000*(1-worksheet!$F$37/M46),worksheet!$F$8*O46/worksheet!$F$29/worksheet!$J$11)</f>
        <v>#VALUE!</v>
      </c>
      <c r="Q46" s="44" t="e">
        <f t="shared" si="2"/>
        <v>#VALUE!</v>
      </c>
      <c r="R46" s="44" t="e">
        <f>S46-worksheet!$F$8*O46/worksheet!$F$42/1000</f>
        <v>#VALUE!</v>
      </c>
      <c r="S46" s="44">
        <f>N46/worksheet!$F$52</f>
        <v>1.4358974358974359</v>
      </c>
      <c r="T46" s="44" t="e">
        <f>0.5*worksheet!$F$62/100*worksheet!$F$29*(R46+S46)*P46*M46/1000*worksheet!$J$11</f>
        <v>#VALUE!</v>
      </c>
      <c r="U46" s="44"/>
      <c r="V46" s="44"/>
      <c r="W46" s="44"/>
      <c r="X46" s="44"/>
      <c r="Y46" s="44"/>
      <c r="Z46" s="44"/>
    </row>
    <row r="47" spans="1:26">
      <c r="A47" s="44">
        <v>1.98</v>
      </c>
      <c r="B47" s="44">
        <f t="shared" si="5"/>
        <v>57.85882352941173</v>
      </c>
      <c r="C47" s="44">
        <v>0.28000000000000003</v>
      </c>
      <c r="D47" s="44">
        <f>MIN(1000*worksheet!$F$36/B47,1000*worksheet!$F$42*C47/worksheet!$F$52/worksheet!$F$8)</f>
        <v>2.8195804195804199</v>
      </c>
      <c r="E47" s="44">
        <f>MIN(1000*(1-worksheet!$F$36/B47),worksheet!$F$8*D47/worksheet!$F$29/worksheet!$F$11)</f>
        <v>6.3296703296703303</v>
      </c>
      <c r="F47" s="44" t="str">
        <f t="shared" si="0"/>
        <v>DCM</v>
      </c>
      <c r="G47" s="44">
        <f>H47-worksheet!$F$8*D47/worksheet!$F$42/1000</f>
        <v>0</v>
      </c>
      <c r="H47" s="44">
        <f>C47/worksheet!$F$52</f>
        <v>1.4358974358974359</v>
      </c>
      <c r="I47" s="44">
        <f>0.5*worksheet!$F$62/100*worksheet!$F$29*(G47+H47)*E47*B47/1000*worksheet!$F$11</f>
        <v>24.479006919596223</v>
      </c>
      <c r="J47" s="46">
        <f t="shared" si="1"/>
        <v>57.85882352941173</v>
      </c>
      <c r="K47" s="44"/>
      <c r="L47" s="44">
        <v>1.98</v>
      </c>
      <c r="M47" s="44" t="e">
        <f t="shared" si="6"/>
        <v>#VALUE!</v>
      </c>
      <c r="N47" s="44">
        <v>0.28000000000000003</v>
      </c>
      <c r="O47" s="44" t="e">
        <f>MIN(1000*worksheet!$F$37/M47,1000*worksheet!$F$42*N47/worksheet!$F$52/worksheet!$F$8)</f>
        <v>#VALUE!</v>
      </c>
      <c r="P47" s="44" t="e">
        <f>MIN(1000*(1-worksheet!$F$37/M47),worksheet!$F$8*O47/worksheet!$F$29/worksheet!$J$11)</f>
        <v>#VALUE!</v>
      </c>
      <c r="Q47" s="44" t="e">
        <f t="shared" si="2"/>
        <v>#VALUE!</v>
      </c>
      <c r="R47" s="44" t="e">
        <f>S47-worksheet!$F$8*O47/worksheet!$F$42/1000</f>
        <v>#VALUE!</v>
      </c>
      <c r="S47" s="44">
        <f>N47/worksheet!$F$52</f>
        <v>1.4358974358974359</v>
      </c>
      <c r="T47" s="44" t="e">
        <f>0.5*worksheet!$F$62/100*worksheet!$F$29*(R47+S47)*P47*M47/1000*worksheet!$J$11</f>
        <v>#VALUE!</v>
      </c>
      <c r="U47" s="44"/>
      <c r="V47" s="44"/>
      <c r="W47" s="44"/>
      <c r="X47" s="44"/>
      <c r="Y47" s="44"/>
      <c r="Z47" s="44"/>
    </row>
    <row r="48" spans="1:26">
      <c r="A48" s="44">
        <v>2</v>
      </c>
      <c r="B48" s="44">
        <f t="shared" si="5"/>
        <v>59.588235294117609</v>
      </c>
      <c r="C48" s="44">
        <v>0.28000000000000003</v>
      </c>
      <c r="D48" s="44">
        <f>MIN(1000*worksheet!$F$36/B48,1000*worksheet!$F$42*C48/worksheet!$F$52/worksheet!$F$8)</f>
        <v>2.8195804195804199</v>
      </c>
      <c r="E48" s="44">
        <f>MIN(1000*(1-worksheet!$F$36/B48),worksheet!$F$8*D48/worksheet!$F$29/worksheet!$F$11)</f>
        <v>6.3296703296703303</v>
      </c>
      <c r="F48" s="44" t="str">
        <f t="shared" si="0"/>
        <v>DCM</v>
      </c>
      <c r="G48" s="44">
        <f>H48-worksheet!$F$8*D48/worksheet!$F$42/1000</f>
        <v>0</v>
      </c>
      <c r="H48" s="44">
        <f>C48/worksheet!$F$52</f>
        <v>1.4358974358974359</v>
      </c>
      <c r="I48" s="44">
        <f>0.5*worksheet!$F$62/100*worksheet!$F$29*(G48+H48)*E48*B48/1000*worksheet!$F$11</f>
        <v>25.21068931430559</v>
      </c>
      <c r="J48" s="46">
        <f t="shared" si="1"/>
        <v>59.588235294117609</v>
      </c>
      <c r="K48" s="44"/>
      <c r="L48" s="44">
        <v>2</v>
      </c>
      <c r="M48" s="44" t="e">
        <f t="shared" si="6"/>
        <v>#VALUE!</v>
      </c>
      <c r="N48" s="44">
        <v>0.28000000000000003</v>
      </c>
      <c r="O48" s="44" t="e">
        <f>MIN(1000*worksheet!$F$37/M48,1000*worksheet!$F$42*N48/worksheet!$F$52/worksheet!$F$8)</f>
        <v>#VALUE!</v>
      </c>
      <c r="P48" s="44" t="e">
        <f>MIN(1000*(1-worksheet!$F$37/M48),worksheet!$F$8*O48/worksheet!$F$29/worksheet!$J$11)</f>
        <v>#VALUE!</v>
      </c>
      <c r="Q48" s="44" t="e">
        <f t="shared" si="2"/>
        <v>#VALUE!</v>
      </c>
      <c r="R48" s="44" t="e">
        <f>S48-worksheet!$F$8*O48/worksheet!$F$42/1000</f>
        <v>#VALUE!</v>
      </c>
      <c r="S48" s="44">
        <f>N48/worksheet!$F$52</f>
        <v>1.4358974358974359</v>
      </c>
      <c r="T48" s="44" t="e">
        <f>0.5*worksheet!$F$62/100*worksheet!$F$29*(R48+S48)*P48*M48/1000*worksheet!$J$11</f>
        <v>#VALUE!</v>
      </c>
      <c r="U48" s="44"/>
      <c r="V48" s="44"/>
      <c r="W48" s="44"/>
      <c r="X48" s="44"/>
      <c r="Y48" s="44"/>
      <c r="Z48" s="44"/>
    </row>
    <row r="49" spans="1:26">
      <c r="A49" s="44">
        <v>2.02</v>
      </c>
      <c r="B49" s="44">
        <f t="shared" si="5"/>
        <v>61.317647058823489</v>
      </c>
      <c r="C49" s="44">
        <v>0.28000000000000003</v>
      </c>
      <c r="D49" s="44">
        <f>MIN(1000*worksheet!$F$36/B49,1000*worksheet!$F$42*C49/worksheet!$F$52/worksheet!$F$8)</f>
        <v>2.8195804195804199</v>
      </c>
      <c r="E49" s="44">
        <f>MIN(1000*(1-worksheet!$F$36/B49),worksheet!$F$8*D49/worksheet!$F$29/worksheet!$F$11)</f>
        <v>6.3296703296703303</v>
      </c>
      <c r="F49" s="44" t="str">
        <f t="shared" si="0"/>
        <v>DCM</v>
      </c>
      <c r="G49" s="44">
        <f>H49-worksheet!$F$8*D49/worksheet!$F$42/1000</f>
        <v>0</v>
      </c>
      <c r="H49" s="44">
        <f>C49/worksheet!$F$52</f>
        <v>1.4358974358974359</v>
      </c>
      <c r="I49" s="44">
        <f>0.5*worksheet!$F$62/100*worksheet!$F$29*(G49+H49)*E49*B49/1000*worksheet!$F$11</f>
        <v>25.942371709014949</v>
      </c>
      <c r="J49" s="46">
        <f t="shared" si="1"/>
        <v>61.317647058823489</v>
      </c>
      <c r="K49" s="44"/>
      <c r="L49" s="44">
        <v>2.02</v>
      </c>
      <c r="M49" s="44" t="e">
        <f t="shared" si="6"/>
        <v>#VALUE!</v>
      </c>
      <c r="N49" s="44">
        <v>0.28000000000000003</v>
      </c>
      <c r="O49" s="44" t="e">
        <f>MIN(1000*worksheet!$F$37/M49,1000*worksheet!$F$42*N49/worksheet!$F$52/worksheet!$F$8)</f>
        <v>#VALUE!</v>
      </c>
      <c r="P49" s="44" t="e">
        <f>MIN(1000*(1-worksheet!$F$37/M49),worksheet!$F$8*O49/worksheet!$F$29/worksheet!$J$11)</f>
        <v>#VALUE!</v>
      </c>
      <c r="Q49" s="44" t="e">
        <f t="shared" si="2"/>
        <v>#VALUE!</v>
      </c>
      <c r="R49" s="44" t="e">
        <f>S49-worksheet!$F$8*O49/worksheet!$F$42/1000</f>
        <v>#VALUE!</v>
      </c>
      <c r="S49" s="44">
        <f>N49/worksheet!$F$52</f>
        <v>1.4358974358974359</v>
      </c>
      <c r="T49" s="44" t="e">
        <f>0.5*worksheet!$F$62/100*worksheet!$F$29*(R49+S49)*P49*M49/1000*worksheet!$J$11</f>
        <v>#VALUE!</v>
      </c>
      <c r="U49" s="44"/>
      <c r="V49" s="44"/>
      <c r="W49" s="44"/>
      <c r="X49" s="44"/>
      <c r="Y49" s="44"/>
      <c r="Z49" s="44"/>
    </row>
    <row r="50" spans="1:26">
      <c r="A50" s="44">
        <v>2.04</v>
      </c>
      <c r="B50" s="44">
        <f t="shared" si="5"/>
        <v>63.047058823529369</v>
      </c>
      <c r="C50" s="44">
        <v>0.28000000000000003</v>
      </c>
      <c r="D50" s="44">
        <f>MIN(1000*worksheet!$F$36/B50,1000*worksheet!$F$42*C50/worksheet!$F$52/worksheet!$F$8)</f>
        <v>2.8195804195804199</v>
      </c>
      <c r="E50" s="44">
        <f>MIN(1000*(1-worksheet!$F$36/B50),worksheet!$F$8*D50/worksheet!$F$29/worksheet!$F$11)</f>
        <v>6.3296703296703303</v>
      </c>
      <c r="F50" s="44" t="str">
        <f t="shared" si="0"/>
        <v>DCM</v>
      </c>
      <c r="G50" s="44">
        <f>H50-worksheet!$F$8*D50/worksheet!$F$42/1000</f>
        <v>0</v>
      </c>
      <c r="H50" s="44">
        <f>C50/worksheet!$F$52</f>
        <v>1.4358974358974359</v>
      </c>
      <c r="I50" s="44">
        <f>0.5*worksheet!$F$62/100*worksheet!$F$29*(G50+H50)*E50*B50/1000*worksheet!$F$11</f>
        <v>26.674054103724313</v>
      </c>
      <c r="J50" s="46">
        <f t="shared" si="1"/>
        <v>63.047058823529369</v>
      </c>
      <c r="K50" s="44"/>
      <c r="L50" s="44">
        <v>2.04</v>
      </c>
      <c r="M50" s="44" t="e">
        <f t="shared" si="6"/>
        <v>#VALUE!</v>
      </c>
      <c r="N50" s="44">
        <v>0.28000000000000003</v>
      </c>
      <c r="O50" s="44" t="e">
        <f>MIN(1000*worksheet!$F$37/M50,1000*worksheet!$F$42*N50/worksheet!$F$52/worksheet!$F$8)</f>
        <v>#VALUE!</v>
      </c>
      <c r="P50" s="44" t="e">
        <f>MIN(1000*(1-worksheet!$F$37/M50),worksheet!$F$8*O50/worksheet!$F$29/worksheet!$J$11)</f>
        <v>#VALUE!</v>
      </c>
      <c r="Q50" s="44" t="e">
        <f t="shared" si="2"/>
        <v>#VALUE!</v>
      </c>
      <c r="R50" s="44" t="e">
        <f>S50-worksheet!$F$8*O50/worksheet!$F$42/1000</f>
        <v>#VALUE!</v>
      </c>
      <c r="S50" s="44">
        <f>N50/worksheet!$F$52</f>
        <v>1.4358974358974359</v>
      </c>
      <c r="T50" s="44" t="e">
        <f>0.5*worksheet!$F$62/100*worksheet!$F$29*(R50+S50)*P50*M50/1000*worksheet!$J$11</f>
        <v>#VALUE!</v>
      </c>
      <c r="U50" s="44"/>
      <c r="V50" s="44"/>
      <c r="W50" s="44"/>
      <c r="X50" s="44"/>
      <c r="Y50" s="44"/>
      <c r="Z50" s="44"/>
    </row>
    <row r="51" spans="1:26">
      <c r="A51" s="44">
        <v>2.06</v>
      </c>
      <c r="B51" s="44">
        <f t="shared" si="5"/>
        <v>64.776470588235256</v>
      </c>
      <c r="C51" s="44">
        <v>0.28000000000000003</v>
      </c>
      <c r="D51" s="44">
        <f>MIN(1000*worksheet!$F$36/B51,1000*worksheet!$F$42*C51/worksheet!$F$52/worksheet!$F$8)</f>
        <v>2.8195804195804199</v>
      </c>
      <c r="E51" s="44">
        <f>MIN(1000*(1-worksheet!$F$36/B51),worksheet!$F$8*D51/worksheet!$F$29/worksheet!$F$11)</f>
        <v>6.3296703296703303</v>
      </c>
      <c r="F51" s="44" t="str">
        <f t="shared" si="0"/>
        <v>DCM</v>
      </c>
      <c r="G51" s="44">
        <f>H51-worksheet!$F$8*D51/worksheet!$F$42/1000</f>
        <v>0</v>
      </c>
      <c r="H51" s="44">
        <f>C51/worksheet!$F$52</f>
        <v>1.4358974358974359</v>
      </c>
      <c r="I51" s="44">
        <f>0.5*worksheet!$F$62/100*worksheet!$F$29*(G51+H51)*E51*B51/1000*worksheet!$F$11</f>
        <v>27.405736498433679</v>
      </c>
      <c r="J51" s="46">
        <f t="shared" si="1"/>
        <v>64.776470588235256</v>
      </c>
      <c r="K51" s="44"/>
      <c r="L51" s="44">
        <v>2.06</v>
      </c>
      <c r="M51" s="44" t="e">
        <f t="shared" si="6"/>
        <v>#VALUE!</v>
      </c>
      <c r="N51" s="44">
        <v>0.28000000000000003</v>
      </c>
      <c r="O51" s="44" t="e">
        <f>MIN(1000*worksheet!$F$37/M51,1000*worksheet!$F$42*N51/worksheet!$F$52/worksheet!$F$8)</f>
        <v>#VALUE!</v>
      </c>
      <c r="P51" s="44" t="e">
        <f>MIN(1000*(1-worksheet!$F$37/M51),worksheet!$F$8*O51/worksheet!$F$29/worksheet!$J$11)</f>
        <v>#VALUE!</v>
      </c>
      <c r="Q51" s="44" t="e">
        <f t="shared" si="2"/>
        <v>#VALUE!</v>
      </c>
      <c r="R51" s="44" t="e">
        <f>S51-worksheet!$F$8*O51/worksheet!$F$42/1000</f>
        <v>#VALUE!</v>
      </c>
      <c r="S51" s="44">
        <f>N51/worksheet!$F$52</f>
        <v>1.4358974358974359</v>
      </c>
      <c r="T51" s="44" t="e">
        <f>0.5*worksheet!$F$62/100*worksheet!$F$29*(R51+S51)*P51*M51/1000*worksheet!$J$11</f>
        <v>#VALUE!</v>
      </c>
      <c r="U51" s="44"/>
      <c r="V51" s="44"/>
      <c r="W51" s="44"/>
      <c r="X51" s="44"/>
      <c r="Y51" s="44"/>
      <c r="Z51" s="44"/>
    </row>
    <row r="52" spans="1:26">
      <c r="A52" s="44">
        <v>2.08</v>
      </c>
      <c r="B52" s="44">
        <f t="shared" si="5"/>
        <v>66.505882352941143</v>
      </c>
      <c r="C52" s="44">
        <v>0.28000000000000003</v>
      </c>
      <c r="D52" s="44">
        <f>MIN(1000*worksheet!$F$36/B52,1000*worksheet!$F$42*C52/worksheet!$F$52/worksheet!$F$8)</f>
        <v>2.8195804195804199</v>
      </c>
      <c r="E52" s="44">
        <f>MIN(1000*(1-worksheet!$F$36/B52),worksheet!$F$8*D52/worksheet!$F$29/worksheet!$F$11)</f>
        <v>6.3296703296703303</v>
      </c>
      <c r="F52" s="44" t="str">
        <f t="shared" si="0"/>
        <v>DCM</v>
      </c>
      <c r="G52" s="44">
        <f>H52-worksheet!$F$8*D52/worksheet!$F$42/1000</f>
        <v>0</v>
      </c>
      <c r="H52" s="44">
        <f>C52/worksheet!$F$52</f>
        <v>1.4358974358974359</v>
      </c>
      <c r="I52" s="44">
        <f>0.5*worksheet!$F$62/100*worksheet!$F$29*(G52+H52)*E52*B52/1000*worksheet!$F$11</f>
        <v>28.137418893143042</v>
      </c>
      <c r="J52" s="46">
        <f t="shared" si="1"/>
        <v>66.505882352941143</v>
      </c>
      <c r="K52" s="44"/>
      <c r="L52" s="44">
        <v>2.08</v>
      </c>
      <c r="M52" s="44" t="e">
        <f t="shared" si="6"/>
        <v>#VALUE!</v>
      </c>
      <c r="N52" s="44">
        <v>0.28000000000000003</v>
      </c>
      <c r="O52" s="44" t="e">
        <f>MIN(1000*worksheet!$F$37/M52,1000*worksheet!$F$42*N52/worksheet!$F$52/worksheet!$F$8)</f>
        <v>#VALUE!</v>
      </c>
      <c r="P52" s="44" t="e">
        <f>MIN(1000*(1-worksheet!$F$37/M52),worksheet!$F$8*O52/worksheet!$F$29/worksheet!$J$11)</f>
        <v>#VALUE!</v>
      </c>
      <c r="Q52" s="44" t="e">
        <f t="shared" si="2"/>
        <v>#VALUE!</v>
      </c>
      <c r="R52" s="44" t="e">
        <f>S52-worksheet!$F$8*O52/worksheet!$F$42/1000</f>
        <v>#VALUE!</v>
      </c>
      <c r="S52" s="44">
        <f>N52/worksheet!$F$52</f>
        <v>1.4358974358974359</v>
      </c>
      <c r="T52" s="44" t="e">
        <f>0.5*worksheet!$F$62/100*worksheet!$F$29*(R52+S52)*P52*M52/1000*worksheet!$J$11</f>
        <v>#VALUE!</v>
      </c>
      <c r="U52" s="44"/>
      <c r="V52" s="44"/>
      <c r="W52" s="44"/>
      <c r="X52" s="44"/>
      <c r="Y52" s="44"/>
      <c r="Z52" s="44"/>
    </row>
    <row r="53" spans="1:26">
      <c r="A53" s="44">
        <v>2.1</v>
      </c>
      <c r="B53" s="44">
        <f>IF(worksheet!$F$10="Rapid charger",IF(worksheet!$F$11&gt;20,50+(worksheet!$F$16-50)*(worksheet!$F$11-3)/(worksheet!$F$11-3),50+(worksheet!$F$16-50)*(worksheet!$F$11-3)/(worksheet!$F$14-3)),IF(worksheet!$F$18&gt;20,50+(worksheet!$F$16-50)*(worksheet!$F$18-3)/(worksheet!$F$18-3),50+(worksheet!$F$16-50)*(worksheet!$F$18-3)/(worksheet!$F$14-3)))</f>
        <v>68.235294117647058</v>
      </c>
      <c r="C53" s="44">
        <v>0.28000000000000003</v>
      </c>
      <c r="D53" s="44">
        <f>MIN(1000*worksheet!$F$36/B53,1000*worksheet!$F$42*C53/worksheet!$F$52/worksheet!$F$8)</f>
        <v>2.8195804195804199</v>
      </c>
      <c r="E53" s="44">
        <f>MIN(1000*(1-worksheet!$F$36/B53),worksheet!$F$8*D53/worksheet!$F$29/worksheet!$F$11)</f>
        <v>6.3296703296703303</v>
      </c>
      <c r="F53" s="44" t="str">
        <f t="shared" si="0"/>
        <v>DCM</v>
      </c>
      <c r="G53" s="44">
        <f>H53-worksheet!$F$8*D53/worksheet!$F$42/1000</f>
        <v>0</v>
      </c>
      <c r="H53" s="44">
        <f>C53/worksheet!$F$52</f>
        <v>1.4358974358974359</v>
      </c>
      <c r="I53" s="44">
        <f>0.5*worksheet!$F$62/100*worksheet!$F$29*(G53+H53)*E53*B53/1000*worksheet!$F$11</f>
        <v>28.86910128785242</v>
      </c>
      <c r="J53" s="46">
        <f t="shared" si="1"/>
        <v>68.235294117647058</v>
      </c>
      <c r="K53" s="44"/>
      <c r="L53" s="44">
        <v>2.1</v>
      </c>
      <c r="M53" s="44" t="str">
        <f>IF(worksheet!$F$10="Rapid charger",50+(worksheet!$F$16-50)*(worksheet!J$11-3)/(worksheet!$F$14-3)," ")</f>
        <v xml:space="preserve"> </v>
      </c>
      <c r="N53" s="44">
        <v>0.28000000000000003</v>
      </c>
      <c r="O53" s="44" t="e">
        <f>MIN(1000*worksheet!$F$37/M53,1000*worksheet!$F$42*N53/worksheet!$F$52/worksheet!$F$8)</f>
        <v>#VALUE!</v>
      </c>
      <c r="P53" s="44" t="e">
        <f>MIN(1000*(1-worksheet!$F$37/M53),worksheet!$F$8*O53/worksheet!$F$29/worksheet!$J$11)</f>
        <v>#VALUE!</v>
      </c>
      <c r="Q53" s="44" t="e">
        <f t="shared" si="2"/>
        <v>#VALUE!</v>
      </c>
      <c r="R53" s="44" t="e">
        <f>S53-worksheet!$F$8*O53/worksheet!$F$42/1000</f>
        <v>#VALUE!</v>
      </c>
      <c r="S53" s="44">
        <f>N53/worksheet!$F$52</f>
        <v>1.4358974358974359</v>
      </c>
      <c r="T53" s="44" t="e">
        <f>0.5*worksheet!$F$62/100*worksheet!$F$29*(R53+S53)*P53*M53/1000*worksheet!$J$11</f>
        <v>#VALUE!</v>
      </c>
      <c r="U53" s="44"/>
      <c r="V53" s="44"/>
      <c r="W53" s="44"/>
      <c r="X53" s="44"/>
      <c r="Y53" s="44"/>
      <c r="Z53" s="44"/>
    </row>
    <row r="54" spans="1:26">
      <c r="A54" s="44">
        <v>2.12</v>
      </c>
      <c r="B54" s="44">
        <f>IF(worksheet!$F$10="Rapid charger",IF(worksheet!$F$11&gt;20,50+(worksheet!$F$16-50)*(worksheet!$F$11-3)/(worksheet!$F$11-3),50+(worksheet!$F$16-50)*(worksheet!$F$11-3)/(worksheet!$F$14-3)),IF(worksheet!$F$18&gt;20,50+(worksheet!$F$16-50)*(worksheet!$F$18-3)/(worksheet!$F$18-3),50+(worksheet!$F$16-50)*(worksheet!$F$18-3)/(worksheet!$F$14-3)))</f>
        <v>68.235294117647058</v>
      </c>
      <c r="C54" s="60">
        <f>C53+($C$113-$C$53)/60</f>
        <v>0.28416666666666668</v>
      </c>
      <c r="D54" s="44">
        <f>MIN(1000*worksheet!$F$36/B54,1000*worksheet!$F$42*C54/worksheet!$F$52/worksheet!$F$8)</f>
        <v>2.8615384615384616</v>
      </c>
      <c r="E54" s="44">
        <f>MIN(1000*(1-worksheet!$F$36/B54),worksheet!$F$8*D54/worksheet!$F$29/worksheet!$F$11)</f>
        <v>6.4238618524332818</v>
      </c>
      <c r="F54" s="44" t="str">
        <f t="shared" si="0"/>
        <v>DCM</v>
      </c>
      <c r="G54" s="44">
        <f>H54-worksheet!$F$8*D54/worksheet!$F$42/1000</f>
        <v>0</v>
      </c>
      <c r="H54" s="44">
        <f>C54/worksheet!$F$52</f>
        <v>1.4572649572649572</v>
      </c>
      <c r="I54" s="44">
        <f>0.5*worksheet!$F$62/100*worksheet!$F$29*(G54+H54)*E54*B54/1000*worksheet!$F$11</f>
        <v>29.734693583942448</v>
      </c>
      <c r="J54" s="46">
        <f t="shared" si="1"/>
        <v>68.235294117647058</v>
      </c>
      <c r="K54" s="44"/>
      <c r="L54" s="44">
        <v>2.12</v>
      </c>
      <c r="M54" s="44" t="str">
        <f>IF(worksheet!$F$10="Rapid charger",50+(worksheet!$F$16-50)*(worksheet!J$11-3)/(worksheet!$F$14-3)," ")</f>
        <v xml:space="preserve"> </v>
      </c>
      <c r="N54" s="60">
        <f>N53+($N$113-$N$53)/60</f>
        <v>0.28366666666666668</v>
      </c>
      <c r="O54" s="44" t="e">
        <f>MIN(1000*worksheet!$F$37/M54,1000*worksheet!$F$42*N54/worksheet!$F$52/worksheet!$F$8)</f>
        <v>#VALUE!</v>
      </c>
      <c r="P54" s="44" t="e">
        <f>MIN(1000*(1-worksheet!$F$37/M54),worksheet!$F$8*O54/worksheet!$F$29/worksheet!$J$11)</f>
        <v>#VALUE!</v>
      </c>
      <c r="Q54" s="44" t="e">
        <f t="shared" si="2"/>
        <v>#VALUE!</v>
      </c>
      <c r="R54" s="44" t="e">
        <f>S54-worksheet!$F$8*O54/worksheet!$F$42/1000</f>
        <v>#VALUE!</v>
      </c>
      <c r="S54" s="44">
        <f>N54/worksheet!$F$52</f>
        <v>1.4547008547008546</v>
      </c>
      <c r="T54" s="44" t="e">
        <f>0.5*worksheet!$F$62/100*worksheet!$F$29*(R54+S54)*P54*M54/1000*worksheet!$J$11</f>
        <v>#VALUE!</v>
      </c>
      <c r="U54" s="44"/>
      <c r="V54" s="44"/>
      <c r="W54" s="44"/>
      <c r="X54" s="44"/>
      <c r="Y54" s="44"/>
      <c r="Z54" s="44"/>
    </row>
    <row r="55" spans="1:26">
      <c r="A55" s="44">
        <v>2.14</v>
      </c>
      <c r="B55" s="44">
        <f>IF(worksheet!$F$10="Rapid charger",IF(worksheet!$F$11&gt;20,50+(worksheet!$F$16-50)*(worksheet!$F$11-3)/(worksheet!$F$11-3),50+(worksheet!$F$16-50)*(worksheet!$F$11-3)/(worksheet!$F$14-3)),IF(worksheet!$F$18&gt;20,50+(worksheet!$F$16-50)*(worksheet!$F$18-3)/(worksheet!$F$18-3),50+(worksheet!$F$16-50)*(worksheet!$F$18-3)/(worksheet!$F$14-3)))</f>
        <v>68.235294117647058</v>
      </c>
      <c r="C55" s="60">
        <f t="shared" ref="C55:C112" si="7">C54+($C$113-$C$53)/60</f>
        <v>0.28833333333333333</v>
      </c>
      <c r="D55" s="44">
        <f>MIN(1000*worksheet!$F$36/B55,1000*worksheet!$F$42*C55/worksheet!$F$52/worksheet!$F$8)</f>
        <v>2.9034965034965032</v>
      </c>
      <c r="E55" s="44">
        <f>MIN(1000*(1-worksheet!$F$36/B55),worksheet!$F$8*D55/worksheet!$F$29/worksheet!$F$11)</f>
        <v>6.5180533751962315</v>
      </c>
      <c r="F55" s="44" t="str">
        <f t="shared" si="0"/>
        <v>DCM</v>
      </c>
      <c r="G55" s="44">
        <f>H55-worksheet!$F$8*D55/worksheet!$F$42/1000</f>
        <v>0</v>
      </c>
      <c r="H55" s="44">
        <f>C55/worksheet!$F$52</f>
        <v>1.4786324786324785</v>
      </c>
      <c r="I55" s="44">
        <f>0.5*worksheet!$F$62/100*worksheet!$F$29*(G55+H55)*E55*B55/1000*worksheet!$F$11</f>
        <v>30.613071586030852</v>
      </c>
      <c r="J55" s="46">
        <f t="shared" si="1"/>
        <v>68.235294117647058</v>
      </c>
      <c r="K55" s="44"/>
      <c r="L55" s="44">
        <v>2.14</v>
      </c>
      <c r="M55" s="44" t="str">
        <f>IF(worksheet!$F$10="Rapid charger",50+(worksheet!$F$16-50)*(worksheet!J$11-3)/(worksheet!$F$14-3)," ")</f>
        <v xml:space="preserve"> </v>
      </c>
      <c r="N55" s="60">
        <f t="shared" ref="N55:N112" si="8">N54+($N$113-$N$53)/60</f>
        <v>0.28733333333333333</v>
      </c>
      <c r="O55" s="44" t="e">
        <f>MIN(1000*worksheet!$F$37/M55,1000*worksheet!$F$42*N55/worksheet!$F$52/worksheet!$F$8)</f>
        <v>#VALUE!</v>
      </c>
      <c r="P55" s="44" t="e">
        <f>MIN(1000*(1-worksheet!$F$37/M55),worksheet!$F$8*O55/worksheet!$F$29/worksheet!$J$11)</f>
        <v>#VALUE!</v>
      </c>
      <c r="Q55" s="44" t="e">
        <f t="shared" si="2"/>
        <v>#VALUE!</v>
      </c>
      <c r="R55" s="44" t="e">
        <f>S55-worksheet!$F$8*O55/worksheet!$F$42/1000</f>
        <v>#VALUE!</v>
      </c>
      <c r="S55" s="44">
        <f>N55/worksheet!$F$52</f>
        <v>1.4735042735042734</v>
      </c>
      <c r="T55" s="44" t="e">
        <f>0.5*worksheet!$F$62/100*worksheet!$F$29*(R55+S55)*P55*M55/1000*worksheet!$J$11</f>
        <v>#VALUE!</v>
      </c>
      <c r="U55" s="44"/>
      <c r="V55" s="44"/>
      <c r="W55" s="44"/>
      <c r="X55" s="44"/>
      <c r="Y55" s="44"/>
      <c r="Z55" s="44"/>
    </row>
    <row r="56" spans="1:26">
      <c r="A56" s="44">
        <v>2.16</v>
      </c>
      <c r="B56" s="44">
        <f>IF(worksheet!$F$10="Rapid charger",IF(worksheet!$F$11&gt;20,50+(worksheet!$F$16-50)*(worksheet!$F$11-3)/(worksheet!$F$11-3),50+(worksheet!$F$16-50)*(worksheet!$F$11-3)/(worksheet!$F$14-3)),IF(worksheet!$F$18&gt;20,50+(worksheet!$F$16-50)*(worksheet!$F$18-3)/(worksheet!$F$18-3),50+(worksheet!$F$16-50)*(worksheet!$F$18-3)/(worksheet!$F$14-3)))</f>
        <v>68.235294117647058</v>
      </c>
      <c r="C56" s="60">
        <f t="shared" si="7"/>
        <v>0.29249999999999998</v>
      </c>
      <c r="D56" s="44">
        <f>MIN(1000*worksheet!$F$36/B56,1000*worksheet!$F$42*C56/worksheet!$F$52/worksheet!$F$8)</f>
        <v>2.9454545454545449</v>
      </c>
      <c r="E56" s="44">
        <f>MIN(1000*(1-worksheet!$F$36/B56),worksheet!$F$8*D56/worksheet!$F$29/worksheet!$F$11)</f>
        <v>6.6122448979591821</v>
      </c>
      <c r="F56" s="44" t="str">
        <f t="shared" si="0"/>
        <v>DCM</v>
      </c>
      <c r="G56" s="44">
        <f>H56-worksheet!$F$8*D56/worksheet!$F$42/1000</f>
        <v>0</v>
      </c>
      <c r="H56" s="44">
        <f>C56/worksheet!$F$52</f>
        <v>1.4999999999999998</v>
      </c>
      <c r="I56" s="44">
        <f>0.5*worksheet!$F$62/100*worksheet!$F$29*(G56+H56)*E56*B56/1000*worksheet!$F$11</f>
        <v>31.504235294117631</v>
      </c>
      <c r="J56" s="46">
        <f t="shared" si="1"/>
        <v>68.235294117647058</v>
      </c>
      <c r="K56" s="44"/>
      <c r="L56" s="44">
        <v>2.16</v>
      </c>
      <c r="M56" s="44" t="str">
        <f>IF(worksheet!$F$10="Rapid charger",50+(worksheet!$F$16-50)*(worksheet!J$11-3)/(worksheet!$F$14-3)," ")</f>
        <v xml:space="preserve"> </v>
      </c>
      <c r="N56" s="60">
        <f t="shared" si="8"/>
        <v>0.29099999999999998</v>
      </c>
      <c r="O56" s="44" t="e">
        <f>MIN(1000*worksheet!$F$37/M56,1000*worksheet!$F$42*N56/worksheet!$F$52/worksheet!$F$8)</f>
        <v>#VALUE!</v>
      </c>
      <c r="P56" s="44" t="e">
        <f>MIN(1000*(1-worksheet!$F$37/M56),worksheet!$F$8*O56/worksheet!$F$29/worksheet!$J$11)</f>
        <v>#VALUE!</v>
      </c>
      <c r="Q56" s="44" t="e">
        <f t="shared" si="2"/>
        <v>#VALUE!</v>
      </c>
      <c r="R56" s="44" t="e">
        <f>S56-worksheet!$F$8*O56/worksheet!$F$42/1000</f>
        <v>#VALUE!</v>
      </c>
      <c r="S56" s="44">
        <f>N56/worksheet!$F$52</f>
        <v>1.4923076923076921</v>
      </c>
      <c r="T56" s="44" t="e">
        <f>0.5*worksheet!$F$62/100*worksheet!$F$29*(R56+S56)*P56*M56/1000*worksheet!$J$11</f>
        <v>#VALUE!</v>
      </c>
      <c r="U56" s="44"/>
      <c r="V56" s="44"/>
      <c r="W56" s="44"/>
      <c r="X56" s="44"/>
      <c r="Y56" s="44"/>
      <c r="Z56" s="44"/>
    </row>
    <row r="57" spans="1:26">
      <c r="A57" s="44">
        <v>2.1800000000000002</v>
      </c>
      <c r="B57" s="44">
        <f>IF(worksheet!$F$10="Rapid charger",IF(worksheet!$F$11&gt;20,50+(worksheet!$F$16-50)*(worksheet!$F$11-3)/(worksheet!$F$11-3),50+(worksheet!$F$16-50)*(worksheet!$F$11-3)/(worksheet!$F$14-3)),IF(worksheet!$F$18&gt;20,50+(worksheet!$F$16-50)*(worksheet!$F$18-3)/(worksheet!$F$18-3),50+(worksheet!$F$16-50)*(worksheet!$F$18-3)/(worksheet!$F$14-3)))</f>
        <v>68.235294117647058</v>
      </c>
      <c r="C57" s="60">
        <f t="shared" si="7"/>
        <v>0.29666666666666663</v>
      </c>
      <c r="D57" s="44">
        <f>MIN(1000*worksheet!$F$36/B57,1000*worksheet!$F$42*C57/worksheet!$F$52/worksheet!$F$8)</f>
        <v>2.987412587412587</v>
      </c>
      <c r="E57" s="44">
        <f>MIN(1000*(1-worksheet!$F$36/B57),worksheet!$F$8*D57/worksheet!$F$29/worksheet!$F$11)</f>
        <v>6.7064364207221345</v>
      </c>
      <c r="F57" s="44" t="str">
        <f t="shared" si="0"/>
        <v>DCM</v>
      </c>
      <c r="G57" s="44">
        <f>H57-worksheet!$F$8*D57/worksheet!$F$42/1000</f>
        <v>0</v>
      </c>
      <c r="H57" s="44">
        <f>C57/worksheet!$F$52</f>
        <v>1.5213675213675211</v>
      </c>
      <c r="I57" s="44">
        <f>0.5*worksheet!$F$62/100*worksheet!$F$29*(G57+H57)*E57*B57/1000*worksheet!$F$11</f>
        <v>32.408184708202803</v>
      </c>
      <c r="J57" s="46">
        <f t="shared" si="1"/>
        <v>68.235294117647058</v>
      </c>
      <c r="K57" s="44"/>
      <c r="L57" s="44">
        <v>2.1800000000000002</v>
      </c>
      <c r="M57" s="44" t="str">
        <f>IF(worksheet!$F$10="Rapid charger",50+(worksheet!$F$16-50)*(worksheet!J$11-3)/(worksheet!$F$14-3)," ")</f>
        <v xml:space="preserve"> </v>
      </c>
      <c r="N57" s="60">
        <f t="shared" si="8"/>
        <v>0.29466666666666663</v>
      </c>
      <c r="O57" s="44" t="e">
        <f>MIN(1000*worksheet!$F$37/M57,1000*worksheet!$F$42*N57/worksheet!$F$52/worksheet!$F$8)</f>
        <v>#VALUE!</v>
      </c>
      <c r="P57" s="44" t="e">
        <f>MIN(1000*(1-worksheet!$F$37/M57),worksheet!$F$8*O57/worksheet!$F$29/worksheet!$J$11)</f>
        <v>#VALUE!</v>
      </c>
      <c r="Q57" s="44" t="e">
        <f t="shared" si="2"/>
        <v>#VALUE!</v>
      </c>
      <c r="R57" s="44" t="e">
        <f>S57-worksheet!$F$8*O57/worksheet!$F$42/1000</f>
        <v>#VALUE!</v>
      </c>
      <c r="S57" s="44">
        <f>N57/worksheet!$F$52</f>
        <v>1.5111111111111108</v>
      </c>
      <c r="T57" s="44" t="e">
        <f>0.5*worksheet!$F$62/100*worksheet!$F$29*(R57+S57)*P57*M57/1000*worksheet!$J$11</f>
        <v>#VALUE!</v>
      </c>
      <c r="U57" s="44"/>
      <c r="V57" s="44"/>
      <c r="W57" s="44"/>
      <c r="X57" s="44"/>
      <c r="Y57" s="44"/>
      <c r="Z57" s="44"/>
    </row>
    <row r="58" spans="1:26">
      <c r="A58" s="44">
        <v>2.2000000000000002</v>
      </c>
      <c r="B58" s="44">
        <f>IF(worksheet!$F$10="Rapid charger",IF(worksheet!$F$11&gt;20,50+(worksheet!$F$16-50)*(worksheet!$F$11-3)/(worksheet!$F$11-3),50+(worksheet!$F$16-50)*(worksheet!$F$11-3)/(worksheet!$F$14-3)),IF(worksheet!$F$18&gt;20,50+(worksheet!$F$16-50)*(worksheet!$F$18-3)/(worksheet!$F$18-3),50+(worksheet!$F$16-50)*(worksheet!$F$18-3)/(worksheet!$F$14-3)))</f>
        <v>68.235294117647058</v>
      </c>
      <c r="C58" s="60">
        <f t="shared" si="7"/>
        <v>0.30083333333333329</v>
      </c>
      <c r="D58" s="44">
        <f>MIN(1000*worksheet!$F$36/B58,1000*worksheet!$F$42*C58/worksheet!$F$52/worksheet!$F$8)</f>
        <v>3.0293706293706286</v>
      </c>
      <c r="E58" s="44">
        <f>MIN(1000*(1-worksheet!$F$36/B58),worksheet!$F$8*D58/worksheet!$F$29/worksheet!$F$11)</f>
        <v>6.8006279434850851</v>
      </c>
      <c r="F58" s="44" t="str">
        <f t="shared" si="0"/>
        <v>DCM</v>
      </c>
      <c r="G58" s="44">
        <f>H58-worksheet!$F$8*D58/worksheet!$F$42/1000</f>
        <v>0</v>
      </c>
      <c r="H58" s="44">
        <f>C58/worksheet!$F$52</f>
        <v>1.5427350427350424</v>
      </c>
      <c r="I58" s="44">
        <f>0.5*worksheet!$F$62/100*worksheet!$F$29*(G58+H58)*E58*B58/1000*worksheet!$F$11</f>
        <v>33.324919828286333</v>
      </c>
      <c r="J58" s="46">
        <f t="shared" si="1"/>
        <v>68.235294117647058</v>
      </c>
      <c r="K58" s="44"/>
      <c r="L58" s="44">
        <v>2.2000000000000002</v>
      </c>
      <c r="M58" s="44" t="str">
        <f>IF(worksheet!$F$10="Rapid charger",50+(worksheet!$F$16-50)*(worksheet!J$11-3)/(worksheet!$F$14-3)," ")</f>
        <v xml:space="preserve"> </v>
      </c>
      <c r="N58" s="60">
        <f t="shared" si="8"/>
        <v>0.29833333333333328</v>
      </c>
      <c r="O58" s="44" t="e">
        <f>MIN(1000*worksheet!$F$37/M58,1000*worksheet!$F$42*N58/worksheet!$F$52/worksheet!$F$8)</f>
        <v>#VALUE!</v>
      </c>
      <c r="P58" s="44" t="e">
        <f>MIN(1000*(1-worksheet!$F$37/M58),worksheet!$F$8*O58/worksheet!$F$29/worksheet!$J$11)</f>
        <v>#VALUE!</v>
      </c>
      <c r="Q58" s="44" t="e">
        <f t="shared" si="2"/>
        <v>#VALUE!</v>
      </c>
      <c r="R58" s="44" t="e">
        <f>S58-worksheet!$F$8*O58/worksheet!$F$42/1000</f>
        <v>#VALUE!</v>
      </c>
      <c r="S58" s="44">
        <f>N58/worksheet!$F$52</f>
        <v>1.5299145299145296</v>
      </c>
      <c r="T58" s="44" t="e">
        <f>0.5*worksheet!$F$62/100*worksheet!$F$29*(R58+S58)*P58*M58/1000*worksheet!$J$11</f>
        <v>#VALUE!</v>
      </c>
      <c r="U58" s="44"/>
      <c r="V58" s="44"/>
      <c r="W58" s="44"/>
      <c r="X58" s="44"/>
      <c r="Y58" s="44"/>
      <c r="Z58" s="44"/>
    </row>
    <row r="59" spans="1:26">
      <c r="A59" s="44">
        <v>2.2200000000000002</v>
      </c>
      <c r="B59" s="44">
        <f>IF(worksheet!$F$10="Rapid charger",IF(worksheet!$F$11&gt;20,50+(worksheet!$F$16-50)*(worksheet!$F$11-3)/(worksheet!$F$11-3),50+(worksheet!$F$16-50)*(worksheet!$F$11-3)/(worksheet!$F$14-3)),IF(worksheet!$F$18&gt;20,50+(worksheet!$F$16-50)*(worksheet!$F$18-3)/(worksheet!$F$18-3),50+(worksheet!$F$16-50)*(worksheet!$F$18-3)/(worksheet!$F$14-3)))</f>
        <v>68.235294117647058</v>
      </c>
      <c r="C59" s="60">
        <f t="shared" si="7"/>
        <v>0.30499999999999994</v>
      </c>
      <c r="D59" s="44">
        <f>MIN(1000*worksheet!$F$36/B59,1000*worksheet!$F$42*C59/worksheet!$F$52/worksheet!$F$8)</f>
        <v>3.0713286713286707</v>
      </c>
      <c r="E59" s="44">
        <f>MIN(1000*(1-worksheet!$F$36/B59),worksheet!$F$8*D59/worksheet!$F$29/worksheet!$F$11)</f>
        <v>6.8948194662480358</v>
      </c>
      <c r="F59" s="44" t="str">
        <f t="shared" si="0"/>
        <v>DCM</v>
      </c>
      <c r="G59" s="44">
        <f>H59-worksheet!$F$8*D59/worksheet!$F$42/1000</f>
        <v>0</v>
      </c>
      <c r="H59" s="44">
        <f>C59/worksheet!$F$52</f>
        <v>1.5641025641025637</v>
      </c>
      <c r="I59" s="44">
        <f>0.5*worksheet!$F$62/100*worksheet!$F$29*(G59+H59)*E59*B59/1000*worksheet!$F$11</f>
        <v>34.254440654368231</v>
      </c>
      <c r="J59" s="46">
        <f t="shared" si="1"/>
        <v>68.235294117647058</v>
      </c>
      <c r="K59" s="44"/>
      <c r="L59" s="44">
        <v>2.2200000000000002</v>
      </c>
      <c r="M59" s="44" t="str">
        <f>IF(worksheet!$F$10="Rapid charger",50+(worksheet!$F$16-50)*(worksheet!J$11-3)/(worksheet!$F$14-3)," ")</f>
        <v xml:space="preserve"> </v>
      </c>
      <c r="N59" s="60">
        <f t="shared" si="8"/>
        <v>0.30199999999999994</v>
      </c>
      <c r="O59" s="44" t="e">
        <f>MIN(1000*worksheet!$F$37/M59,1000*worksheet!$F$42*N59/worksheet!$F$52/worksheet!$F$8)</f>
        <v>#VALUE!</v>
      </c>
      <c r="P59" s="44" t="e">
        <f>MIN(1000*(1-worksheet!$F$37/M59),worksheet!$F$8*O59/worksheet!$F$29/worksheet!$J$11)</f>
        <v>#VALUE!</v>
      </c>
      <c r="Q59" s="44" t="e">
        <f t="shared" si="2"/>
        <v>#VALUE!</v>
      </c>
      <c r="R59" s="44" t="e">
        <f>S59-worksheet!$F$8*O59/worksheet!$F$42/1000</f>
        <v>#VALUE!</v>
      </c>
      <c r="S59" s="44">
        <f>N59/worksheet!$F$52</f>
        <v>1.5487179487179483</v>
      </c>
      <c r="T59" s="44" t="e">
        <f>0.5*worksheet!$F$62/100*worksheet!$F$29*(R59+S59)*P59*M59/1000*worksheet!$J$11</f>
        <v>#VALUE!</v>
      </c>
      <c r="U59" s="44"/>
      <c r="V59" s="44"/>
      <c r="W59" s="44"/>
      <c r="X59" s="44"/>
      <c r="Y59" s="44"/>
      <c r="Z59" s="44"/>
    </row>
    <row r="60" spans="1:26">
      <c r="A60" s="44">
        <v>2.2400000000000002</v>
      </c>
      <c r="B60" s="44">
        <f>IF(worksheet!$F$10="Rapid charger",IF(worksheet!$F$11&gt;20,50+(worksheet!$F$16-50)*(worksheet!$F$11-3)/(worksheet!$F$11-3),50+(worksheet!$F$16-50)*(worksheet!$F$11-3)/(worksheet!$F$14-3)),IF(worksheet!$F$18&gt;20,50+(worksheet!$F$16-50)*(worksheet!$F$18-3)/(worksheet!$F$18-3),50+(worksheet!$F$16-50)*(worksheet!$F$18-3)/(worksheet!$F$14-3)))</f>
        <v>68.235294117647058</v>
      </c>
      <c r="C60" s="60">
        <f t="shared" si="7"/>
        <v>0.30916666666666659</v>
      </c>
      <c r="D60" s="44">
        <f>MIN(1000*worksheet!$F$36/B60,1000*worksheet!$F$42*C60/worksheet!$F$52/worksheet!$F$8)</f>
        <v>3.1132867132867128</v>
      </c>
      <c r="E60" s="44">
        <f>MIN(1000*(1-worksheet!$F$36/B60),worksheet!$F$8*D60/worksheet!$F$29/worksheet!$F$11)</f>
        <v>6.9890109890109873</v>
      </c>
      <c r="F60" s="44" t="str">
        <f t="shared" si="0"/>
        <v>DCM</v>
      </c>
      <c r="G60" s="44">
        <f>H60-worksheet!$F$8*D60/worksheet!$F$42/1000</f>
        <v>0</v>
      </c>
      <c r="H60" s="44">
        <f>C60/worksheet!$F$52</f>
        <v>1.5854700854700849</v>
      </c>
      <c r="I60" s="44">
        <f>0.5*worksheet!$F$62/100*worksheet!$F$29*(G60+H60)*E60*B60/1000*worksheet!$F$11</f>
        <v>35.196747186448519</v>
      </c>
      <c r="J60" s="46">
        <f t="shared" si="1"/>
        <v>68.235294117647058</v>
      </c>
      <c r="K60" s="44"/>
      <c r="L60" s="44">
        <v>2.2400000000000002</v>
      </c>
      <c r="M60" s="44" t="str">
        <f>IF(worksheet!$F$10="Rapid charger",50+(worksheet!$F$16-50)*(worksheet!J$11-3)/(worksheet!$F$14-3)," ")</f>
        <v xml:space="preserve"> </v>
      </c>
      <c r="N60" s="60">
        <f t="shared" si="8"/>
        <v>0.30566666666666659</v>
      </c>
      <c r="O60" s="44" t="e">
        <f>MIN(1000*worksheet!$F$37/M60,1000*worksheet!$F$42*N60/worksheet!$F$52/worksheet!$F$8)</f>
        <v>#VALUE!</v>
      </c>
      <c r="P60" s="44" t="e">
        <f>MIN(1000*(1-worksheet!$F$37/M60),worksheet!$F$8*O60/worksheet!$F$29/worksheet!$J$11)</f>
        <v>#VALUE!</v>
      </c>
      <c r="Q60" s="44" t="e">
        <f t="shared" si="2"/>
        <v>#VALUE!</v>
      </c>
      <c r="R60" s="44" t="e">
        <f>S60-worksheet!$F$8*O60/worksheet!$F$42/1000</f>
        <v>#VALUE!</v>
      </c>
      <c r="S60" s="44">
        <f>N60/worksheet!$F$52</f>
        <v>1.5675213675213671</v>
      </c>
      <c r="T60" s="44" t="e">
        <f>0.5*worksheet!$F$62/100*worksheet!$F$29*(R60+S60)*P60*M60/1000*worksheet!$J$11</f>
        <v>#VALUE!</v>
      </c>
      <c r="U60" s="44"/>
      <c r="V60" s="44"/>
      <c r="W60" s="44"/>
      <c r="X60" s="44"/>
      <c r="Y60" s="44"/>
      <c r="Z60" s="44"/>
    </row>
    <row r="61" spans="1:26">
      <c r="A61" s="44">
        <v>2.2599999999999998</v>
      </c>
      <c r="B61" s="44">
        <f>IF(worksheet!$F$10="Rapid charger",IF(worksheet!$F$11&gt;20,50+(worksheet!$F$16-50)*(worksheet!$F$11-3)/(worksheet!$F$11-3),50+(worksheet!$F$16-50)*(worksheet!$F$11-3)/(worksheet!$F$14-3)),IF(worksheet!$F$18&gt;20,50+(worksheet!$F$16-50)*(worksheet!$F$18-3)/(worksheet!$F$18-3),50+(worksheet!$F$16-50)*(worksheet!$F$18-3)/(worksheet!$F$14-3)))</f>
        <v>68.235294117647058</v>
      </c>
      <c r="C61" s="60">
        <f t="shared" si="7"/>
        <v>0.31333333333333324</v>
      </c>
      <c r="D61" s="44">
        <f>MIN(1000*worksheet!$F$36/B61,1000*worksheet!$F$42*C61/worksheet!$F$52/worksheet!$F$8)</f>
        <v>3.1552447552447545</v>
      </c>
      <c r="E61" s="44">
        <f>MIN(1000*(1-worksheet!$F$36/B61),worksheet!$F$8*D61/worksheet!$F$29/worksheet!$F$11)</f>
        <v>7.0832025117739388</v>
      </c>
      <c r="F61" s="44" t="str">
        <f t="shared" si="0"/>
        <v>DCM</v>
      </c>
      <c r="G61" s="44">
        <f>H61-worksheet!$F$8*D61/worksheet!$F$42/1000</f>
        <v>0</v>
      </c>
      <c r="H61" s="44">
        <f>C61/worksheet!$F$52</f>
        <v>1.6068376068376062</v>
      </c>
      <c r="I61" s="44">
        <f>0.5*worksheet!$F$62/100*worksheet!$F$29*(G61+H61)*E61*B61/1000*worksheet!$F$11</f>
        <v>36.151839424527175</v>
      </c>
      <c r="J61" s="46">
        <f t="shared" si="1"/>
        <v>68.235294117647058</v>
      </c>
      <c r="K61" s="44"/>
      <c r="L61" s="44">
        <v>2.2599999999999998</v>
      </c>
      <c r="M61" s="44" t="str">
        <f>IF(worksheet!$F$10="Rapid charger",50+(worksheet!$F$16-50)*(worksheet!J$11-3)/(worksheet!$F$14-3)," ")</f>
        <v xml:space="preserve"> </v>
      </c>
      <c r="N61" s="60">
        <f t="shared" si="8"/>
        <v>0.30933333333333324</v>
      </c>
      <c r="O61" s="44" t="e">
        <f>MIN(1000*worksheet!$F$37/M61,1000*worksheet!$F$42*N61/worksheet!$F$52/worksheet!$F$8)</f>
        <v>#VALUE!</v>
      </c>
      <c r="P61" s="44" t="e">
        <f>MIN(1000*(1-worksheet!$F$37/M61),worksheet!$F$8*O61/worksheet!$F$29/worksheet!$J$11)</f>
        <v>#VALUE!</v>
      </c>
      <c r="Q61" s="44" t="e">
        <f t="shared" si="2"/>
        <v>#VALUE!</v>
      </c>
      <c r="R61" s="44" t="e">
        <f>S61-worksheet!$F$8*O61/worksheet!$F$42/1000</f>
        <v>#VALUE!</v>
      </c>
      <c r="S61" s="44">
        <f>N61/worksheet!$F$52</f>
        <v>1.5863247863247858</v>
      </c>
      <c r="T61" s="44" t="e">
        <f>0.5*worksheet!$F$62/100*worksheet!$F$29*(R61+S61)*P61*M61/1000*worksheet!$J$11</f>
        <v>#VALUE!</v>
      </c>
      <c r="U61" s="44"/>
      <c r="V61" s="44"/>
      <c r="W61" s="44"/>
      <c r="X61" s="44"/>
      <c r="Y61" s="44"/>
      <c r="Z61" s="44"/>
    </row>
    <row r="62" spans="1:26">
      <c r="A62" s="44">
        <v>2.2799999999999998</v>
      </c>
      <c r="B62" s="44">
        <f>IF(worksheet!$F$10="Rapid charger",IF(worksheet!$F$11&gt;20,50+(worksheet!$F$16-50)*(worksheet!$F$11-3)/(worksheet!$F$11-3),50+(worksheet!$F$16-50)*(worksheet!$F$11-3)/(worksheet!$F$14-3)),IF(worksheet!$F$18&gt;20,50+(worksheet!$F$16-50)*(worksheet!$F$18-3)/(worksheet!$F$18-3),50+(worksheet!$F$16-50)*(worksheet!$F$18-3)/(worksheet!$F$14-3)))</f>
        <v>68.235294117647058</v>
      </c>
      <c r="C62" s="60">
        <f t="shared" si="7"/>
        <v>0.31749999999999989</v>
      </c>
      <c r="D62" s="44">
        <f>MIN(1000*worksheet!$F$36/B62,1000*worksheet!$F$42*C62/worksheet!$F$52/worksheet!$F$8)</f>
        <v>3.1972027972027965</v>
      </c>
      <c r="E62" s="44">
        <f>MIN(1000*(1-worksheet!$F$36/B62),worksheet!$F$8*D62/worksheet!$F$29/worksheet!$F$11)</f>
        <v>7.1773940345368903</v>
      </c>
      <c r="F62" s="44" t="str">
        <f t="shared" si="0"/>
        <v>DCM</v>
      </c>
      <c r="G62" s="44">
        <f>H62-worksheet!$F$8*D62/worksheet!$F$42/1000</f>
        <v>0</v>
      </c>
      <c r="H62" s="44">
        <f>C62/worksheet!$F$52</f>
        <v>1.6282051282051275</v>
      </c>
      <c r="I62" s="44">
        <f>0.5*worksheet!$F$62/100*worksheet!$F$29*(G62+H62)*E62*B62/1000*worksheet!$F$11</f>
        <v>37.119717368604221</v>
      </c>
      <c r="J62" s="46">
        <f t="shared" si="1"/>
        <v>68.235294117647058</v>
      </c>
      <c r="K62" s="44"/>
      <c r="L62" s="44">
        <v>2.2799999999999998</v>
      </c>
      <c r="M62" s="44" t="str">
        <f>IF(worksheet!$F$10="Rapid charger",50+(worksheet!$F$16-50)*(worksheet!J$11-3)/(worksheet!$F$14-3)," ")</f>
        <v xml:space="preserve"> </v>
      </c>
      <c r="N62" s="60">
        <f t="shared" si="8"/>
        <v>0.31299999999999989</v>
      </c>
      <c r="O62" s="44" t="e">
        <f>MIN(1000*worksheet!$F$37/M62,1000*worksheet!$F$42*N62/worksheet!$F$52/worksheet!$F$8)</f>
        <v>#VALUE!</v>
      </c>
      <c r="P62" s="44" t="e">
        <f>MIN(1000*(1-worksheet!$F$37/M62),worksheet!$F$8*O62/worksheet!$F$29/worksheet!$J$11)</f>
        <v>#VALUE!</v>
      </c>
      <c r="Q62" s="44" t="e">
        <f t="shared" si="2"/>
        <v>#VALUE!</v>
      </c>
      <c r="R62" s="44" t="e">
        <f>S62-worksheet!$F$8*O62/worksheet!$F$42/1000</f>
        <v>#VALUE!</v>
      </c>
      <c r="S62" s="44">
        <f>N62/worksheet!$F$52</f>
        <v>1.6051282051282045</v>
      </c>
      <c r="T62" s="44" t="e">
        <f>0.5*worksheet!$F$62/100*worksheet!$F$29*(R62+S62)*P62*M62/1000*worksheet!$J$11</f>
        <v>#VALUE!</v>
      </c>
      <c r="U62" s="44"/>
      <c r="V62" s="44"/>
      <c r="W62" s="44"/>
      <c r="X62" s="44"/>
      <c r="Y62" s="44"/>
      <c r="Z62" s="44"/>
    </row>
    <row r="63" spans="1:26">
      <c r="A63" s="44">
        <v>2.2999999999999998</v>
      </c>
      <c r="B63" s="44">
        <f>IF(worksheet!$F$10="Rapid charger",IF(worksheet!$F$11&gt;20,50+(worksheet!$F$16-50)*(worksheet!$F$11-3)/(worksheet!$F$11-3),50+(worksheet!$F$16-50)*(worksheet!$F$11-3)/(worksheet!$F$14-3)),IF(worksheet!$F$18&gt;20,50+(worksheet!$F$16-50)*(worksheet!$F$18-3)/(worksheet!$F$18-3),50+(worksheet!$F$16-50)*(worksheet!$F$18-3)/(worksheet!$F$14-3)))</f>
        <v>68.235294117647058</v>
      </c>
      <c r="C63" s="60">
        <f t="shared" si="7"/>
        <v>0.32166666666666655</v>
      </c>
      <c r="D63" s="44">
        <f>MIN(1000*worksheet!$F$36/B63,1000*worksheet!$F$42*C63/worksheet!$F$52/worksheet!$F$8)</f>
        <v>3.2391608391608377</v>
      </c>
      <c r="E63" s="44">
        <f>MIN(1000*(1-worksheet!$F$36/B63),worksheet!$F$8*D63/worksheet!$F$29/worksheet!$F$11)</f>
        <v>7.2715855572998391</v>
      </c>
      <c r="F63" s="44" t="str">
        <f t="shared" si="0"/>
        <v>DCM</v>
      </c>
      <c r="G63" s="44">
        <f>H63-worksheet!$F$8*D63/worksheet!$F$42/1000</f>
        <v>0</v>
      </c>
      <c r="H63" s="44">
        <f>C63/worksheet!$F$52</f>
        <v>1.6495726495726488</v>
      </c>
      <c r="I63" s="44">
        <f>0.5*worksheet!$F$62/100*worksheet!$F$29*(G63+H63)*E63*B63/1000*worksheet!$F$11</f>
        <v>38.10038101867962</v>
      </c>
      <c r="J63" s="46">
        <f t="shared" si="1"/>
        <v>68.235294117647058</v>
      </c>
      <c r="K63" s="44"/>
      <c r="L63" s="44">
        <v>2.2999999999999998</v>
      </c>
      <c r="M63" s="44" t="str">
        <f>IF(worksheet!$F$10="Rapid charger",50+(worksheet!$F$16-50)*(worksheet!J$11-3)/(worksheet!$F$14-3)," ")</f>
        <v xml:space="preserve"> </v>
      </c>
      <c r="N63" s="60">
        <f t="shared" si="8"/>
        <v>0.31666666666666654</v>
      </c>
      <c r="O63" s="44" t="e">
        <f>MIN(1000*worksheet!$F$37/M63,1000*worksheet!$F$42*N63/worksheet!$F$52/worksheet!$F$8)</f>
        <v>#VALUE!</v>
      </c>
      <c r="P63" s="44" t="e">
        <f>MIN(1000*(1-worksheet!$F$37/M63),worksheet!$F$8*O63/worksheet!$F$29/worksheet!$J$11)</f>
        <v>#VALUE!</v>
      </c>
      <c r="Q63" s="44" t="e">
        <f t="shared" si="2"/>
        <v>#VALUE!</v>
      </c>
      <c r="R63" s="44" t="e">
        <f>S63-worksheet!$F$8*O63/worksheet!$F$42/1000</f>
        <v>#VALUE!</v>
      </c>
      <c r="S63" s="44">
        <f>N63/worksheet!$F$52</f>
        <v>1.6239316239316233</v>
      </c>
      <c r="T63" s="44" t="e">
        <f>0.5*worksheet!$F$62/100*worksheet!$F$29*(R63+S63)*P63*M63/1000*worksheet!$J$11</f>
        <v>#VALUE!</v>
      </c>
      <c r="U63" s="44"/>
      <c r="V63" s="44"/>
      <c r="W63" s="44"/>
      <c r="X63" s="44"/>
      <c r="Y63" s="44"/>
      <c r="Z63" s="44"/>
    </row>
    <row r="64" spans="1:26">
      <c r="A64" s="44">
        <v>2.3199999999999998</v>
      </c>
      <c r="B64" s="44">
        <f>IF(worksheet!$F$10="Rapid charger",IF(worksheet!$F$11&gt;20,50+(worksheet!$F$16-50)*(worksheet!$F$11-3)/(worksheet!$F$11-3),50+(worksheet!$F$16-50)*(worksheet!$F$11-3)/(worksheet!$F$14-3)),IF(worksheet!$F$18&gt;20,50+(worksheet!$F$16-50)*(worksheet!$F$18-3)/(worksheet!$F$18-3),50+(worksheet!$F$16-50)*(worksheet!$F$18-3)/(worksheet!$F$14-3)))</f>
        <v>68.235294117647058</v>
      </c>
      <c r="C64" s="60">
        <f t="shared" si="7"/>
        <v>0.3258333333333332</v>
      </c>
      <c r="D64" s="44">
        <f>MIN(1000*worksheet!$F$36/B64,1000*worksheet!$F$42*C64/worksheet!$F$52/worksheet!$F$8)</f>
        <v>3.2811188811188794</v>
      </c>
      <c r="E64" s="44">
        <f>MIN(1000*(1-worksheet!$F$36/B64),worksheet!$F$8*D64/worksheet!$F$29/worksheet!$F$11)</f>
        <v>7.3657770800627906</v>
      </c>
      <c r="F64" s="44" t="str">
        <f t="shared" si="0"/>
        <v>DCM</v>
      </c>
      <c r="G64" s="44">
        <f>H64-worksheet!$F$8*D64/worksheet!$F$42/1000</f>
        <v>0</v>
      </c>
      <c r="H64" s="44">
        <f>C64/worksheet!$F$52</f>
        <v>1.6709401709401701</v>
      </c>
      <c r="I64" s="44">
        <f>0.5*worksheet!$F$62/100*worksheet!$F$29*(G64+H64)*E64*B64/1000*worksheet!$F$11</f>
        <v>39.093830374753409</v>
      </c>
      <c r="J64" s="46">
        <f t="shared" si="1"/>
        <v>68.235294117647058</v>
      </c>
      <c r="K64" s="44"/>
      <c r="L64" s="44">
        <v>2.3199999999999998</v>
      </c>
      <c r="M64" s="44" t="str">
        <f>IF(worksheet!$F$10="Rapid charger",50+(worksheet!$F$16-50)*(worksheet!J$11-3)/(worksheet!$F$14-3)," ")</f>
        <v xml:space="preserve"> </v>
      </c>
      <c r="N64" s="60">
        <f t="shared" si="8"/>
        <v>0.32033333333333319</v>
      </c>
      <c r="O64" s="44" t="e">
        <f>MIN(1000*worksheet!$F$37/M64,1000*worksheet!$F$42*N64/worksheet!$F$52/worksheet!$F$8)</f>
        <v>#VALUE!</v>
      </c>
      <c r="P64" s="44" t="e">
        <f>MIN(1000*(1-worksheet!$F$37/M64),worksheet!$F$8*O64/worksheet!$F$29/worksheet!$J$11)</f>
        <v>#VALUE!</v>
      </c>
      <c r="Q64" s="44" t="e">
        <f t="shared" si="2"/>
        <v>#VALUE!</v>
      </c>
      <c r="R64" s="44" t="e">
        <f>S64-worksheet!$F$8*O64/worksheet!$F$42/1000</f>
        <v>#VALUE!</v>
      </c>
      <c r="S64" s="44">
        <f>N64/worksheet!$F$52</f>
        <v>1.642735042735042</v>
      </c>
      <c r="T64" s="44" t="e">
        <f>0.5*worksheet!$F$62/100*worksheet!$F$29*(R64+S64)*P64*M64/1000*worksheet!$J$11</f>
        <v>#VALUE!</v>
      </c>
      <c r="U64" s="44"/>
      <c r="V64" s="44"/>
      <c r="W64" s="44"/>
      <c r="X64" s="44"/>
      <c r="Y64" s="44"/>
      <c r="Z64" s="44"/>
    </row>
    <row r="65" spans="1:20">
      <c r="A65" s="44">
        <v>2.34</v>
      </c>
      <c r="B65" s="44">
        <f>IF(worksheet!$F$10="Rapid charger",IF(worksheet!$F$11&gt;20,50+(worksheet!$F$16-50)*(worksheet!$F$11-3)/(worksheet!$F$11-3),50+(worksheet!$F$16-50)*(worksheet!$F$11-3)/(worksheet!$F$14-3)),IF(worksheet!$F$18&gt;20,50+(worksheet!$F$16-50)*(worksheet!$F$18-3)/(worksheet!$F$18-3),50+(worksheet!$F$16-50)*(worksheet!$F$18-3)/(worksheet!$F$14-3)))</f>
        <v>68.235294117647058</v>
      </c>
      <c r="C65" s="60">
        <f t="shared" si="7"/>
        <v>0.32999999999999985</v>
      </c>
      <c r="D65" s="44">
        <f>MIN(1000*worksheet!$F$36/B65,1000*worksheet!$F$42*C65/worksheet!$F$52/worksheet!$F$8)</f>
        <v>3.3230769230769215</v>
      </c>
      <c r="E65" s="44">
        <f>MIN(1000*(1-worksheet!$F$36/B65),worksheet!$F$8*D65/worksheet!$F$29/worksheet!$F$11)</f>
        <v>7.4599686028257421</v>
      </c>
      <c r="F65" s="44" t="str">
        <f t="shared" si="0"/>
        <v>DCM</v>
      </c>
      <c r="G65" s="44">
        <f>H65-worksheet!$F$8*D65/worksheet!$F$42/1000</f>
        <v>0</v>
      </c>
      <c r="H65" s="44">
        <f>C65/worksheet!$F$52</f>
        <v>1.6923076923076914</v>
      </c>
      <c r="I65" s="44">
        <f>0.5*worksheet!$F$62/100*worksheet!$F$29*(G65+H65)*E65*B65/1000*worksheet!$F$11</f>
        <v>40.100065436825581</v>
      </c>
      <c r="J65" s="46">
        <f t="shared" si="1"/>
        <v>68.235294117647058</v>
      </c>
      <c r="L65" s="44">
        <v>2.34</v>
      </c>
      <c r="M65" s="44" t="str">
        <f>IF(worksheet!$F$10="Rapid charger",50+(worksheet!$F$16-50)*(worksheet!J$11-3)/(worksheet!$F$14-3)," ")</f>
        <v xml:space="preserve"> </v>
      </c>
      <c r="N65" s="60">
        <f t="shared" si="8"/>
        <v>0.32399999999999984</v>
      </c>
      <c r="O65" s="44" t="e">
        <f>MIN(1000*worksheet!$F$37/M65,1000*worksheet!$F$42*N65/worksheet!$F$52/worksheet!$F$8)</f>
        <v>#VALUE!</v>
      </c>
      <c r="P65" s="44" t="e">
        <f>MIN(1000*(1-worksheet!$F$37/M65),worksheet!$F$8*O65/worksheet!$F$29/worksheet!$J$11)</f>
        <v>#VALUE!</v>
      </c>
      <c r="Q65" s="44" t="e">
        <f t="shared" si="2"/>
        <v>#VALUE!</v>
      </c>
      <c r="R65" s="44" t="e">
        <f>S65-worksheet!$F$8*O65/worksheet!$F$42/1000</f>
        <v>#VALUE!</v>
      </c>
      <c r="S65" s="44">
        <f>N65/worksheet!$F$52</f>
        <v>1.6615384615384607</v>
      </c>
      <c r="T65" s="44" t="e">
        <f>0.5*worksheet!$F$62/100*worksheet!$F$29*(R65+S65)*P65*M65/1000*worksheet!$J$11</f>
        <v>#VALUE!</v>
      </c>
    </row>
    <row r="66" spans="1:20">
      <c r="A66" s="44">
        <v>2.36</v>
      </c>
      <c r="B66" s="44">
        <f>IF(worksheet!$F$10="Rapid charger",IF(worksheet!$F$11&gt;20,50+(worksheet!$F$16-50)*(worksheet!$F$11-3)/(worksheet!$F$11-3),50+(worksheet!$F$16-50)*(worksheet!$F$11-3)/(worksheet!$F$14-3)),IF(worksheet!$F$18&gt;20,50+(worksheet!$F$16-50)*(worksheet!$F$18-3)/(worksheet!$F$18-3),50+(worksheet!$F$16-50)*(worksheet!$F$18-3)/(worksheet!$F$14-3)))</f>
        <v>68.235294117647058</v>
      </c>
      <c r="C66" s="60">
        <f t="shared" si="7"/>
        <v>0.3341666666666665</v>
      </c>
      <c r="D66" s="44">
        <f>MIN(1000*worksheet!$F$36/B66,1000*worksheet!$F$42*C66/worksheet!$F$52/worksheet!$F$8)</f>
        <v>3.3650349650349631</v>
      </c>
      <c r="E66" s="44">
        <f>MIN(1000*(1-worksheet!$F$36/B66),worksheet!$F$8*D66/worksheet!$F$29/worksheet!$F$11)</f>
        <v>7.5541601255886937</v>
      </c>
      <c r="F66" s="44" t="str">
        <f t="shared" si="0"/>
        <v>DCM</v>
      </c>
      <c r="G66" s="44">
        <f>H66-worksheet!$F$8*D66/worksheet!$F$42/1000</f>
        <v>0</v>
      </c>
      <c r="H66" s="44">
        <f>C66/worksheet!$F$52</f>
        <v>1.7136752136752127</v>
      </c>
      <c r="I66" s="44">
        <f>0.5*worksheet!$F$62/100*worksheet!$F$29*(G66+H66)*E66*B66/1000*worksheet!$F$11</f>
        <v>41.119086204896114</v>
      </c>
      <c r="J66" s="46">
        <f t="shared" si="1"/>
        <v>68.235294117647058</v>
      </c>
      <c r="L66" s="44">
        <v>2.36</v>
      </c>
      <c r="M66" s="44" t="str">
        <f>IF(worksheet!$F$10="Rapid charger",50+(worksheet!$F$16-50)*(worksheet!J$11-3)/(worksheet!$F$14-3)," ")</f>
        <v xml:space="preserve"> </v>
      </c>
      <c r="N66" s="60">
        <f t="shared" si="8"/>
        <v>0.3276666666666665</v>
      </c>
      <c r="O66" s="44" t="e">
        <f>MIN(1000*worksheet!$F$37/M66,1000*worksheet!$F$42*N66/worksheet!$F$52/worksheet!$F$8)</f>
        <v>#VALUE!</v>
      </c>
      <c r="P66" s="44" t="e">
        <f>MIN(1000*(1-worksheet!$F$37/M66),worksheet!$F$8*O66/worksheet!$F$29/worksheet!$J$11)</f>
        <v>#VALUE!</v>
      </c>
      <c r="Q66" s="44" t="e">
        <f t="shared" si="2"/>
        <v>#VALUE!</v>
      </c>
      <c r="R66" s="44" t="e">
        <f>S66-worksheet!$F$8*O66/worksheet!$F$42/1000</f>
        <v>#VALUE!</v>
      </c>
      <c r="S66" s="44">
        <f>N66/worksheet!$F$52</f>
        <v>1.6803418803418795</v>
      </c>
      <c r="T66" s="44" t="e">
        <f>0.5*worksheet!$F$62/100*worksheet!$F$29*(R66+S66)*P66*M66/1000*worksheet!$J$11</f>
        <v>#VALUE!</v>
      </c>
    </row>
    <row r="67" spans="1:20">
      <c r="A67" s="44">
        <v>2.38</v>
      </c>
      <c r="B67" s="44">
        <f>IF(worksheet!$F$10="Rapid charger",IF(worksheet!$F$11&gt;20,50+(worksheet!$F$16-50)*(worksheet!$F$11-3)/(worksheet!$F$11-3),50+(worksheet!$F$16-50)*(worksheet!$F$11-3)/(worksheet!$F$14-3)),IF(worksheet!$F$18&gt;20,50+(worksheet!$F$16-50)*(worksheet!$F$18-3)/(worksheet!$F$18-3),50+(worksheet!$F$16-50)*(worksheet!$F$18-3)/(worksheet!$F$14-3)))</f>
        <v>68.235294117647058</v>
      </c>
      <c r="C67" s="60">
        <f t="shared" si="7"/>
        <v>0.33833333333333315</v>
      </c>
      <c r="D67" s="44">
        <f>MIN(1000*worksheet!$F$36/B67,1000*worksheet!$F$42*C67/worksheet!$F$52/worksheet!$F$8)</f>
        <v>3.4069930069930048</v>
      </c>
      <c r="E67" s="44">
        <f>MIN(1000*(1-worksheet!$F$36/B67),worksheet!$F$8*D67/worksheet!$F$29/worksheet!$F$11)</f>
        <v>7.6483516483516434</v>
      </c>
      <c r="F67" s="44" t="str">
        <f t="shared" si="0"/>
        <v>DCM</v>
      </c>
      <c r="G67" s="44">
        <f>H67-worksheet!$F$8*D67/worksheet!$F$42/1000</f>
        <v>0</v>
      </c>
      <c r="H67" s="44">
        <f>C67/worksheet!$F$52</f>
        <v>1.735042735042734</v>
      </c>
      <c r="I67" s="44">
        <f>0.5*worksheet!$F$62/100*worksheet!$F$29*(G67+H67)*E67*B67/1000*worksheet!$F$11</f>
        <v>42.150892678965015</v>
      </c>
      <c r="J67" s="46">
        <f t="shared" si="1"/>
        <v>68.235294117647058</v>
      </c>
      <c r="L67" s="44">
        <v>2.38</v>
      </c>
      <c r="M67" s="44" t="str">
        <f>IF(worksheet!$F$10="Rapid charger",50+(worksheet!$F$16-50)*(worksheet!J$11-3)/(worksheet!$F$14-3)," ")</f>
        <v xml:space="preserve"> </v>
      </c>
      <c r="N67" s="60">
        <f t="shared" si="8"/>
        <v>0.33133333333333315</v>
      </c>
      <c r="O67" s="44" t="e">
        <f>MIN(1000*worksheet!$F$37/M67,1000*worksheet!$F$42*N67/worksheet!$F$52/worksheet!$F$8)</f>
        <v>#VALUE!</v>
      </c>
      <c r="P67" s="44" t="e">
        <f>MIN(1000*(1-worksheet!$F$37/M67),worksheet!$F$8*O67/worksheet!$F$29/worksheet!$J$11)</f>
        <v>#VALUE!</v>
      </c>
      <c r="Q67" s="44" t="e">
        <f t="shared" si="2"/>
        <v>#VALUE!</v>
      </c>
      <c r="R67" s="44" t="e">
        <f>S67-worksheet!$F$8*O67/worksheet!$F$42/1000</f>
        <v>#VALUE!</v>
      </c>
      <c r="S67" s="44">
        <f>N67/worksheet!$F$52</f>
        <v>1.6991452991452982</v>
      </c>
      <c r="T67" s="44" t="e">
        <f>0.5*worksheet!$F$62/100*worksheet!$F$29*(R67+S67)*P67*M67/1000*worksheet!$J$11</f>
        <v>#VALUE!</v>
      </c>
    </row>
    <row r="68" spans="1:20">
      <c r="A68" s="44">
        <v>2.4</v>
      </c>
      <c r="B68" s="44">
        <f>IF(worksheet!$F$10="Rapid charger",IF(worksheet!$F$11&gt;20,50+(worksheet!$F$16-50)*(worksheet!$F$11-3)/(worksheet!$F$11-3),50+(worksheet!$F$16-50)*(worksheet!$F$11-3)/(worksheet!$F$14-3)),IF(worksheet!$F$18&gt;20,50+(worksheet!$F$16-50)*(worksheet!$F$18-3)/(worksheet!$F$18-3),50+(worksheet!$F$16-50)*(worksheet!$F$18-3)/(worksheet!$F$14-3)))</f>
        <v>68.235294117647058</v>
      </c>
      <c r="C68" s="60">
        <f t="shared" si="7"/>
        <v>0.3424999999999998</v>
      </c>
      <c r="D68" s="44">
        <f>MIN(1000*worksheet!$F$36/B68,1000*worksheet!$F$42*C68/worksheet!$F$52/worksheet!$F$8)</f>
        <v>3.4489510489510473</v>
      </c>
      <c r="E68" s="44">
        <f>MIN(1000*(1-worksheet!$F$36/B68),worksheet!$F$8*D68/worksheet!$F$29/worksheet!$F$11)</f>
        <v>7.7425431711145958</v>
      </c>
      <c r="F68" s="44" t="str">
        <f t="shared" ref="F68:F113" si="9">IF((D68+E68)&lt;(1000/B68),"DCM","CCM")</f>
        <v>DCM</v>
      </c>
      <c r="G68" s="44">
        <f>H68-worksheet!$F$8*D68/worksheet!$F$42/1000</f>
        <v>0</v>
      </c>
      <c r="H68" s="44">
        <f>C68/worksheet!$F$52</f>
        <v>1.7564102564102553</v>
      </c>
      <c r="I68" s="44">
        <f>0.5*worksheet!$F$62/100*worksheet!$F$29*(G68+H68)*E68*B68/1000*worksheet!$F$11</f>
        <v>43.195484859032319</v>
      </c>
      <c r="J68" s="46">
        <f t="shared" ref="J68:J113" si="10">B68</f>
        <v>68.235294117647058</v>
      </c>
      <c r="L68" s="44">
        <v>2.4</v>
      </c>
      <c r="M68" s="44" t="str">
        <f>IF(worksheet!$F$10="Rapid charger",50+(worksheet!$F$16-50)*(worksheet!J$11-3)/(worksheet!$F$14-3)," ")</f>
        <v xml:space="preserve"> </v>
      </c>
      <c r="N68" s="60">
        <f t="shared" si="8"/>
        <v>0.3349999999999998</v>
      </c>
      <c r="O68" s="44" t="e">
        <f>MIN(1000*worksheet!$F$37/M68,1000*worksheet!$F$42*N68/worksheet!$F$52/worksheet!$F$8)</f>
        <v>#VALUE!</v>
      </c>
      <c r="P68" s="44" t="e">
        <f>MIN(1000*(1-worksheet!$F$37/M68),worksheet!$F$8*O68/worksheet!$F$29/worksheet!$J$11)</f>
        <v>#VALUE!</v>
      </c>
      <c r="Q68" s="44" t="e">
        <f t="shared" ref="Q68:Q113" si="11">IF((O68+P68)&lt;(1000/M68),"DCM","CCM")</f>
        <v>#VALUE!</v>
      </c>
      <c r="R68" s="44" t="e">
        <f>S68-worksheet!$F$8*O68/worksheet!$F$42/1000</f>
        <v>#VALUE!</v>
      </c>
      <c r="S68" s="44">
        <f>N68/worksheet!$F$52</f>
        <v>1.717948717948717</v>
      </c>
      <c r="T68" s="44" t="e">
        <f>0.5*worksheet!$F$62/100*worksheet!$F$29*(R68+S68)*P68*M68/1000*worksheet!$J$11</f>
        <v>#VALUE!</v>
      </c>
    </row>
    <row r="69" spans="1:20">
      <c r="A69" s="44">
        <v>2.42</v>
      </c>
      <c r="B69" s="44">
        <f>IF(worksheet!$F$10="Rapid charger",IF(worksheet!$F$11&gt;20,50+(worksheet!$F$16-50)*(worksheet!$F$11-3)/(worksheet!$F$11-3),50+(worksheet!$F$16-50)*(worksheet!$F$11-3)/(worksheet!$F$14-3)),IF(worksheet!$F$18&gt;20,50+(worksheet!$F$16-50)*(worksheet!$F$18-3)/(worksheet!$F$18-3),50+(worksheet!$F$16-50)*(worksheet!$F$18-3)/(worksheet!$F$14-3)))</f>
        <v>68.235294117647058</v>
      </c>
      <c r="C69" s="60">
        <f t="shared" si="7"/>
        <v>0.34666666666666646</v>
      </c>
      <c r="D69" s="44">
        <f>MIN(1000*worksheet!$F$36/B69,1000*worksheet!$F$42*C69/worksheet!$F$52/worksheet!$F$8)</f>
        <v>3.490909090909089</v>
      </c>
      <c r="E69" s="44">
        <f>MIN(1000*(1-worksheet!$F$36/B69),worksheet!$F$8*D69/worksheet!$F$29/worksheet!$F$11)</f>
        <v>7.8367346938775464</v>
      </c>
      <c r="F69" s="44" t="str">
        <f t="shared" si="9"/>
        <v>DCM</v>
      </c>
      <c r="G69" s="44">
        <f>H69-worksheet!$F$8*D69/worksheet!$F$42/1000</f>
        <v>0</v>
      </c>
      <c r="H69" s="44">
        <f>C69/worksheet!$F$52</f>
        <v>1.7777777777777766</v>
      </c>
      <c r="I69" s="44">
        <f>0.5*worksheet!$F$62/100*worksheet!$F$29*(G69+H69)*E69*B69/1000*worksheet!$F$11</f>
        <v>44.252862745097985</v>
      </c>
      <c r="J69" s="46">
        <f t="shared" si="10"/>
        <v>68.235294117647058</v>
      </c>
      <c r="L69" s="44">
        <v>2.42</v>
      </c>
      <c r="M69" s="44" t="str">
        <f>IF(worksheet!$F$10="Rapid charger",50+(worksheet!$F$16-50)*(worksheet!J$11-3)/(worksheet!$F$14-3)," ")</f>
        <v xml:space="preserve"> </v>
      </c>
      <c r="N69" s="60">
        <f t="shared" si="8"/>
        <v>0.33866666666666645</v>
      </c>
      <c r="O69" s="44" t="e">
        <f>MIN(1000*worksheet!$F$37/M69,1000*worksheet!$F$42*N69/worksheet!$F$52/worksheet!$F$8)</f>
        <v>#VALUE!</v>
      </c>
      <c r="P69" s="44" t="e">
        <f>MIN(1000*(1-worksheet!$F$37/M69),worksheet!$F$8*O69/worksheet!$F$29/worksheet!$J$11)</f>
        <v>#VALUE!</v>
      </c>
      <c r="Q69" s="44" t="e">
        <f t="shared" si="11"/>
        <v>#VALUE!</v>
      </c>
      <c r="R69" s="44" t="e">
        <f>S69-worksheet!$F$8*O69/worksheet!$F$42/1000</f>
        <v>#VALUE!</v>
      </c>
      <c r="S69" s="44">
        <f>N69/worksheet!$F$52</f>
        <v>1.7367521367521357</v>
      </c>
      <c r="T69" s="44" t="e">
        <f>0.5*worksheet!$F$62/100*worksheet!$F$29*(R69+S69)*P69*M69/1000*worksheet!$J$11</f>
        <v>#VALUE!</v>
      </c>
    </row>
    <row r="70" spans="1:20">
      <c r="A70" s="44">
        <v>2.44</v>
      </c>
      <c r="B70" s="44">
        <f>IF(worksheet!$F$10="Rapid charger",IF(worksheet!$F$11&gt;20,50+(worksheet!$F$16-50)*(worksheet!$F$11-3)/(worksheet!$F$11-3),50+(worksheet!$F$16-50)*(worksheet!$F$11-3)/(worksheet!$F$14-3)),IF(worksheet!$F$18&gt;20,50+(worksheet!$F$16-50)*(worksheet!$F$18-3)/(worksheet!$F$18-3),50+(worksheet!$F$16-50)*(worksheet!$F$18-3)/(worksheet!$F$14-3)))</f>
        <v>68.235294117647058</v>
      </c>
      <c r="C70" s="60">
        <f t="shared" si="7"/>
        <v>0.35083333333333311</v>
      </c>
      <c r="D70" s="44">
        <f>MIN(1000*worksheet!$F$36/B70,1000*worksheet!$F$42*C70/worksheet!$F$52/worksheet!$F$8)</f>
        <v>3.5328671328671302</v>
      </c>
      <c r="E70" s="44">
        <f>MIN(1000*(1-worksheet!$F$36/B70),worksheet!$F$8*D70/worksheet!$F$29/worksheet!$F$11)</f>
        <v>7.9309262166404952</v>
      </c>
      <c r="F70" s="44" t="str">
        <f t="shared" si="9"/>
        <v>DCM</v>
      </c>
      <c r="G70" s="44">
        <f>H70-worksheet!$F$8*D70/worksheet!$F$42/1000</f>
        <v>0</v>
      </c>
      <c r="H70" s="44">
        <f>C70/worksheet!$F$52</f>
        <v>1.7991452991452979</v>
      </c>
      <c r="I70" s="44">
        <f>0.5*worksheet!$F$62/100*worksheet!$F$29*(G70+H70)*E70*B70/1000*worksheet!$F$11</f>
        <v>45.323026337162005</v>
      </c>
      <c r="J70" s="46">
        <f t="shared" si="10"/>
        <v>68.235294117647058</v>
      </c>
      <c r="L70" s="44">
        <v>2.44</v>
      </c>
      <c r="M70" s="44" t="str">
        <f>IF(worksheet!$F$10="Rapid charger",50+(worksheet!$F$16-50)*(worksheet!J$11-3)/(worksheet!$F$14-3)," ")</f>
        <v xml:space="preserve"> </v>
      </c>
      <c r="N70" s="60">
        <f t="shared" si="8"/>
        <v>0.3423333333333331</v>
      </c>
      <c r="O70" s="44" t="e">
        <f>MIN(1000*worksheet!$F$37/M70,1000*worksheet!$F$42*N70/worksheet!$F$52/worksheet!$F$8)</f>
        <v>#VALUE!</v>
      </c>
      <c r="P70" s="44" t="e">
        <f>MIN(1000*(1-worksheet!$F$37/M70),worksheet!$F$8*O70/worksheet!$F$29/worksheet!$J$11)</f>
        <v>#VALUE!</v>
      </c>
      <c r="Q70" s="44" t="e">
        <f t="shared" si="11"/>
        <v>#VALUE!</v>
      </c>
      <c r="R70" s="44" t="e">
        <f>S70-worksheet!$F$8*O70/worksheet!$F$42/1000</f>
        <v>#VALUE!</v>
      </c>
      <c r="S70" s="44">
        <f>N70/worksheet!$F$52</f>
        <v>1.7555555555555542</v>
      </c>
      <c r="T70" s="44" t="e">
        <f>0.5*worksheet!$F$62/100*worksheet!$F$29*(R70+S70)*P70*M70/1000*worksheet!$J$11</f>
        <v>#VALUE!</v>
      </c>
    </row>
    <row r="71" spans="1:20">
      <c r="A71" s="44">
        <v>2.46</v>
      </c>
      <c r="B71" s="44">
        <f>IF(worksheet!$F$10="Rapid charger",IF(worksheet!$F$11&gt;20,50+(worksheet!$F$16-50)*(worksheet!$F$11-3)/(worksheet!$F$11-3),50+(worksheet!$F$16-50)*(worksheet!$F$11-3)/(worksheet!$F$14-3)),IF(worksheet!$F$18&gt;20,50+(worksheet!$F$16-50)*(worksheet!$F$18-3)/(worksheet!$F$18-3),50+(worksheet!$F$16-50)*(worksheet!$F$18-3)/(worksheet!$F$14-3)))</f>
        <v>68.235294117647058</v>
      </c>
      <c r="C71" s="60">
        <f t="shared" si="7"/>
        <v>0.35499999999999976</v>
      </c>
      <c r="D71" s="44">
        <f>MIN(1000*worksheet!$F$36/B71,1000*worksheet!$F$42*C71/worksheet!$F$52/worksheet!$F$8)</f>
        <v>3.5748251748251723</v>
      </c>
      <c r="E71" s="44">
        <f>MIN(1000*(1-worksheet!$F$36/B71),worksheet!$F$8*D71/worksheet!$F$29/worksheet!$F$11)</f>
        <v>8.0251177394034467</v>
      </c>
      <c r="F71" s="44" t="str">
        <f t="shared" si="9"/>
        <v>DCM</v>
      </c>
      <c r="G71" s="44">
        <f>H71-worksheet!$F$8*D71/worksheet!$F$42/1000</f>
        <v>0</v>
      </c>
      <c r="H71" s="44">
        <f>C71/worksheet!$F$52</f>
        <v>1.8205128205128192</v>
      </c>
      <c r="I71" s="44">
        <f>0.5*worksheet!$F$62/100*worksheet!$F$29*(G71+H71)*E71*B71/1000*worksheet!$F$11</f>
        <v>46.405975635224422</v>
      </c>
      <c r="J71" s="46">
        <f t="shared" si="10"/>
        <v>68.235294117647058</v>
      </c>
      <c r="L71" s="44">
        <v>2.46</v>
      </c>
      <c r="M71" s="44" t="str">
        <f>IF(worksheet!$F$10="Rapid charger",50+(worksheet!$F$16-50)*(worksheet!J$11-3)/(worksheet!$F$14-3)," ")</f>
        <v xml:space="preserve"> </v>
      </c>
      <c r="N71" s="60">
        <f t="shared" si="8"/>
        <v>0.34599999999999975</v>
      </c>
      <c r="O71" s="44" t="e">
        <f>MIN(1000*worksheet!$F$37/M71,1000*worksheet!$F$42*N71/worksheet!$F$52/worksheet!$F$8)</f>
        <v>#VALUE!</v>
      </c>
      <c r="P71" s="44" t="e">
        <f>MIN(1000*(1-worksheet!$F$37/M71),worksheet!$F$8*O71/worksheet!$F$29/worksheet!$J$11)</f>
        <v>#VALUE!</v>
      </c>
      <c r="Q71" s="44" t="e">
        <f t="shared" si="11"/>
        <v>#VALUE!</v>
      </c>
      <c r="R71" s="44" t="e">
        <f>S71-worksheet!$F$8*O71/worksheet!$F$42/1000</f>
        <v>#VALUE!</v>
      </c>
      <c r="S71" s="44">
        <f>N71/worksheet!$F$52</f>
        <v>1.7743589743589729</v>
      </c>
      <c r="T71" s="44" t="e">
        <f>0.5*worksheet!$F$62/100*worksheet!$F$29*(R71+S71)*P71*M71/1000*worksheet!$J$11</f>
        <v>#VALUE!</v>
      </c>
    </row>
    <row r="72" spans="1:20">
      <c r="A72" s="44">
        <v>2.48</v>
      </c>
      <c r="B72" s="44">
        <f>IF(worksheet!$F$10="Rapid charger",IF(worksheet!$F$11&gt;20,50+(worksheet!$F$16-50)*(worksheet!$F$11-3)/(worksheet!$F$11-3),50+(worksheet!$F$16-50)*(worksheet!$F$11-3)/(worksheet!$F$14-3)),IF(worksheet!$F$18&gt;20,50+(worksheet!$F$16-50)*(worksheet!$F$18-3)/(worksheet!$F$18-3),50+(worksheet!$F$16-50)*(worksheet!$F$18-3)/(worksheet!$F$14-3)))</f>
        <v>68.235294117647058</v>
      </c>
      <c r="C72" s="60">
        <f t="shared" si="7"/>
        <v>0.35916666666666641</v>
      </c>
      <c r="D72" s="44">
        <f>MIN(1000*worksheet!$F$36/B72,1000*worksheet!$F$42*C72/worksheet!$F$52/worksheet!$F$8)</f>
        <v>3.6167832167832139</v>
      </c>
      <c r="E72" s="44">
        <f>MIN(1000*(1-worksheet!$F$36/B72),worksheet!$F$8*D72/worksheet!$F$29/worksheet!$F$11)</f>
        <v>8.1193092621663983</v>
      </c>
      <c r="F72" s="44" t="str">
        <f t="shared" si="9"/>
        <v>DCM</v>
      </c>
      <c r="G72" s="44">
        <f>H72-worksheet!$F$8*D72/worksheet!$F$42/1000</f>
        <v>0</v>
      </c>
      <c r="H72" s="44">
        <f>C72/worksheet!$F$52</f>
        <v>1.8418803418803404</v>
      </c>
      <c r="I72" s="44">
        <f>0.5*worksheet!$F$62/100*worksheet!$F$29*(G72+H72)*E72*B72/1000*worksheet!$F$11</f>
        <v>47.501710639285221</v>
      </c>
      <c r="J72" s="46">
        <f t="shared" si="10"/>
        <v>68.235294117647058</v>
      </c>
      <c r="L72" s="44">
        <v>2.48</v>
      </c>
      <c r="M72" s="44" t="str">
        <f>IF(worksheet!$F$10="Rapid charger",50+(worksheet!$F$16-50)*(worksheet!J$11-3)/(worksheet!$F$14-3)," ")</f>
        <v xml:space="preserve"> </v>
      </c>
      <c r="N72" s="60">
        <f t="shared" si="8"/>
        <v>0.3496666666666664</v>
      </c>
      <c r="O72" s="44" t="e">
        <f>MIN(1000*worksheet!$F$37/M72,1000*worksheet!$F$42*N72/worksheet!$F$52/worksheet!$F$8)</f>
        <v>#VALUE!</v>
      </c>
      <c r="P72" s="44" t="e">
        <f>MIN(1000*(1-worksheet!$F$37/M72),worksheet!$F$8*O72/worksheet!$F$29/worksheet!$J$11)</f>
        <v>#VALUE!</v>
      </c>
      <c r="Q72" s="44" t="e">
        <f t="shared" si="11"/>
        <v>#VALUE!</v>
      </c>
      <c r="R72" s="44" t="e">
        <f>S72-worksheet!$F$8*O72/worksheet!$F$42/1000</f>
        <v>#VALUE!</v>
      </c>
      <c r="S72" s="44">
        <f>N72/worksheet!$F$52</f>
        <v>1.7931623931623917</v>
      </c>
      <c r="T72" s="44" t="e">
        <f>0.5*worksheet!$F$62/100*worksheet!$F$29*(R72+S72)*P72*M72/1000*worksheet!$J$11</f>
        <v>#VALUE!</v>
      </c>
    </row>
    <row r="73" spans="1:20">
      <c r="A73" s="44">
        <v>2.5</v>
      </c>
      <c r="B73" s="44">
        <f>IF(worksheet!$F$10="Rapid charger",IF(worksheet!$F$11&gt;20,50+(worksheet!$F$16-50)*(worksheet!$F$11-3)/(worksheet!$F$11-3),50+(worksheet!$F$16-50)*(worksheet!$F$11-3)/(worksheet!$F$14-3)),IF(worksheet!$F$18&gt;20,50+(worksheet!$F$16-50)*(worksheet!$F$18-3)/(worksheet!$F$18-3),50+(worksheet!$F$16-50)*(worksheet!$F$18-3)/(worksheet!$F$14-3)))</f>
        <v>68.235294117647058</v>
      </c>
      <c r="C73" s="60">
        <f t="shared" si="7"/>
        <v>0.36333333333333306</v>
      </c>
      <c r="D73" s="44">
        <f>MIN(1000*worksheet!$F$36/B73,1000*worksheet!$F$42*C73/worksheet!$F$52/worksheet!$F$8)</f>
        <v>3.658741258741256</v>
      </c>
      <c r="E73" s="44">
        <f>MIN(1000*(1-worksheet!$F$36/B73),worksheet!$F$8*D73/worksheet!$F$29/worksheet!$F$11)</f>
        <v>8.2135007849293498</v>
      </c>
      <c r="F73" s="44" t="str">
        <f t="shared" si="9"/>
        <v>DCM</v>
      </c>
      <c r="G73" s="44">
        <f>H73-worksheet!$F$8*D73/worksheet!$F$42/1000</f>
        <v>0</v>
      </c>
      <c r="H73" s="44">
        <f>C73/worksheet!$F$52</f>
        <v>1.8632478632478617</v>
      </c>
      <c r="I73" s="44">
        <f>0.5*worksheet!$F$62/100*worksheet!$F$29*(G73+H73)*E73*B73/1000*worksheet!$F$11</f>
        <v>48.610231349344389</v>
      </c>
      <c r="J73" s="46">
        <f t="shared" si="10"/>
        <v>68.235294117647058</v>
      </c>
      <c r="L73" s="44">
        <v>2.5</v>
      </c>
      <c r="M73" s="44" t="str">
        <f>IF(worksheet!$F$10="Rapid charger",50+(worksheet!$F$16-50)*(worksheet!J$11-3)/(worksheet!$F$14-3)," ")</f>
        <v xml:space="preserve"> </v>
      </c>
      <c r="N73" s="60">
        <f t="shared" si="8"/>
        <v>0.35333333333333306</v>
      </c>
      <c r="O73" s="44" t="e">
        <f>MIN(1000*worksheet!$F$37/M73,1000*worksheet!$F$42*N73/worksheet!$F$52/worksheet!$F$8)</f>
        <v>#VALUE!</v>
      </c>
      <c r="P73" s="44" t="e">
        <f>MIN(1000*(1-worksheet!$F$37/M73),worksheet!$F$8*O73/worksheet!$F$29/worksheet!$J$11)</f>
        <v>#VALUE!</v>
      </c>
      <c r="Q73" s="44" t="e">
        <f t="shared" si="11"/>
        <v>#VALUE!</v>
      </c>
      <c r="R73" s="44" t="e">
        <f>S73-worksheet!$F$8*O73/worksheet!$F$42/1000</f>
        <v>#VALUE!</v>
      </c>
      <c r="S73" s="44">
        <f>N73/worksheet!$F$52</f>
        <v>1.8119658119658104</v>
      </c>
      <c r="T73" s="44" t="e">
        <f>0.5*worksheet!$F$62/100*worksheet!$F$29*(R73+S73)*P73*M73/1000*worksheet!$J$11</f>
        <v>#VALUE!</v>
      </c>
    </row>
    <row r="74" spans="1:20">
      <c r="A74" s="44">
        <v>2.52</v>
      </c>
      <c r="B74" s="44">
        <f>IF(worksheet!$F$10="Rapid charger",IF(worksheet!$F$11&gt;20,50+(worksheet!$F$16-50)*(worksheet!$F$11-3)/(worksheet!$F$11-3),50+(worksheet!$F$16-50)*(worksheet!$F$11-3)/(worksheet!$F$14-3)),IF(worksheet!$F$18&gt;20,50+(worksheet!$F$16-50)*(worksheet!$F$18-3)/(worksheet!$F$18-3),50+(worksheet!$F$16-50)*(worksheet!$F$18-3)/(worksheet!$F$14-3)))</f>
        <v>68.235294117647058</v>
      </c>
      <c r="C74" s="60">
        <f t="shared" si="7"/>
        <v>0.36749999999999972</v>
      </c>
      <c r="D74" s="44">
        <f>MIN(1000*worksheet!$F$36/B74,1000*worksheet!$F$42*C74/worksheet!$F$52/worksheet!$F$8)</f>
        <v>3.7006993006992976</v>
      </c>
      <c r="E74" s="44">
        <f>MIN(1000*(1-worksheet!$F$36/B74),worksheet!$F$8*D74/worksheet!$F$29/worksheet!$F$11)</f>
        <v>8.3076923076923013</v>
      </c>
      <c r="F74" s="44" t="str">
        <f t="shared" si="9"/>
        <v>DCM</v>
      </c>
      <c r="G74" s="44">
        <f>H74-worksheet!$F$8*D74/worksheet!$F$42/1000</f>
        <v>0</v>
      </c>
      <c r="H74" s="44">
        <f>C74/worksheet!$F$52</f>
        <v>1.884615384615383</v>
      </c>
      <c r="I74" s="44">
        <f>0.5*worksheet!$F$62/100*worksheet!$F$29*(G74+H74)*E74*B74/1000*worksheet!$F$11</f>
        <v>49.731537765401939</v>
      </c>
      <c r="J74" s="46">
        <f t="shared" si="10"/>
        <v>68.235294117647058</v>
      </c>
      <c r="L74" s="44">
        <v>2.52</v>
      </c>
      <c r="M74" s="44" t="str">
        <f>IF(worksheet!$F$10="Rapid charger",50+(worksheet!$F$16-50)*(worksheet!J$11-3)/(worksheet!$F$14-3)," ")</f>
        <v xml:space="preserve"> </v>
      </c>
      <c r="N74" s="60">
        <f t="shared" si="8"/>
        <v>0.35699999999999971</v>
      </c>
      <c r="O74" s="44" t="e">
        <f>MIN(1000*worksheet!$F$37/M74,1000*worksheet!$F$42*N74/worksheet!$F$52/worksheet!$F$8)</f>
        <v>#VALUE!</v>
      </c>
      <c r="P74" s="44" t="e">
        <f>MIN(1000*(1-worksheet!$F$37/M74),worksheet!$F$8*O74/worksheet!$F$29/worksheet!$J$11)</f>
        <v>#VALUE!</v>
      </c>
      <c r="Q74" s="44" t="e">
        <f t="shared" si="11"/>
        <v>#VALUE!</v>
      </c>
      <c r="R74" s="44" t="e">
        <f>S74-worksheet!$F$8*O74/worksheet!$F$42/1000</f>
        <v>#VALUE!</v>
      </c>
      <c r="S74" s="44">
        <f>N74/worksheet!$F$52</f>
        <v>1.8307692307692292</v>
      </c>
      <c r="T74" s="44" t="e">
        <f>0.5*worksheet!$F$62/100*worksheet!$F$29*(R74+S74)*P74*M74/1000*worksheet!$J$11</f>
        <v>#VALUE!</v>
      </c>
    </row>
    <row r="75" spans="1:20">
      <c r="A75" s="44">
        <v>2.54</v>
      </c>
      <c r="B75" s="44">
        <f>IF(worksheet!$F$10="Rapid charger",IF(worksheet!$F$11&gt;20,50+(worksheet!$F$16-50)*(worksheet!$F$11-3)/(worksheet!$F$11-3),50+(worksheet!$F$16-50)*(worksheet!$F$11-3)/(worksheet!$F$14-3)),IF(worksheet!$F$18&gt;20,50+(worksheet!$F$16-50)*(worksheet!$F$18-3)/(worksheet!$F$18-3),50+(worksheet!$F$16-50)*(worksheet!$F$18-3)/(worksheet!$F$14-3)))</f>
        <v>68.235294117647058</v>
      </c>
      <c r="C75" s="60">
        <f t="shared" si="7"/>
        <v>0.37166666666666637</v>
      </c>
      <c r="D75" s="44">
        <f>MIN(1000*worksheet!$F$36/B75,1000*worksheet!$F$42*C75/worksheet!$F$52/worksheet!$F$8)</f>
        <v>3.7426573426573393</v>
      </c>
      <c r="E75" s="44">
        <f>MIN(1000*(1-worksheet!$F$36/B75),worksheet!$F$8*D75/worksheet!$F$29/worksheet!$F$11)</f>
        <v>8.401883830455251</v>
      </c>
      <c r="F75" s="44" t="str">
        <f t="shared" si="9"/>
        <v>DCM</v>
      </c>
      <c r="G75" s="44">
        <f>H75-worksheet!$F$8*D75/worksheet!$F$42/1000</f>
        <v>0</v>
      </c>
      <c r="H75" s="44">
        <f>C75/worksheet!$F$52</f>
        <v>1.9059829059829043</v>
      </c>
      <c r="I75" s="44">
        <f>0.5*worksheet!$F$62/100*worksheet!$F$29*(G75+H75)*E75*B75/1000*worksheet!$F$11</f>
        <v>50.86562988745785</v>
      </c>
      <c r="J75" s="46">
        <f t="shared" si="10"/>
        <v>68.235294117647058</v>
      </c>
      <c r="L75" s="44">
        <v>2.54</v>
      </c>
      <c r="M75" s="44" t="str">
        <f>IF(worksheet!$F$10="Rapid charger",50+(worksheet!$F$16-50)*(worksheet!J$11-3)/(worksheet!$F$14-3)," ")</f>
        <v xml:space="preserve"> </v>
      </c>
      <c r="N75" s="60">
        <f t="shared" si="8"/>
        <v>0.36066666666666636</v>
      </c>
      <c r="O75" s="44" t="e">
        <f>MIN(1000*worksheet!$F$37/M75,1000*worksheet!$F$42*N75/worksheet!$F$52/worksheet!$F$8)</f>
        <v>#VALUE!</v>
      </c>
      <c r="P75" s="44" t="e">
        <f>MIN(1000*(1-worksheet!$F$37/M75),worksheet!$F$8*O75/worksheet!$F$29/worksheet!$J$11)</f>
        <v>#VALUE!</v>
      </c>
      <c r="Q75" s="44" t="e">
        <f t="shared" si="11"/>
        <v>#VALUE!</v>
      </c>
      <c r="R75" s="44" t="e">
        <f>S75-worksheet!$F$8*O75/worksheet!$F$42/1000</f>
        <v>#VALUE!</v>
      </c>
      <c r="S75" s="44">
        <f>N75/worksheet!$F$52</f>
        <v>1.8495726495726479</v>
      </c>
      <c r="T75" s="44" t="e">
        <f>0.5*worksheet!$F$62/100*worksheet!$F$29*(R75+S75)*P75*M75/1000*worksheet!$J$11</f>
        <v>#VALUE!</v>
      </c>
    </row>
    <row r="76" spans="1:20">
      <c r="A76" s="44">
        <v>2.56</v>
      </c>
      <c r="B76" s="44">
        <f>IF(worksheet!$F$10="Rapid charger",IF(worksheet!$F$11&gt;20,50+(worksheet!$F$16-50)*(worksheet!$F$11-3)/(worksheet!$F$11-3),50+(worksheet!$F$16-50)*(worksheet!$F$11-3)/(worksheet!$F$14-3)),IF(worksheet!$F$18&gt;20,50+(worksheet!$F$16-50)*(worksheet!$F$18-3)/(worksheet!$F$18-3),50+(worksheet!$F$16-50)*(worksheet!$F$18-3)/(worksheet!$F$14-3)))</f>
        <v>68.235294117647058</v>
      </c>
      <c r="C76" s="60">
        <f t="shared" si="7"/>
        <v>0.37583333333333302</v>
      </c>
      <c r="D76" s="44">
        <f>MIN(1000*worksheet!$F$36/B76,1000*worksheet!$F$42*C76/worksheet!$F$52/worksheet!$F$8)</f>
        <v>3.7846153846153818</v>
      </c>
      <c r="E76" s="44">
        <f>MIN(1000*(1-worksheet!$F$36/B76),worksheet!$F$8*D76/worksheet!$F$29/worksheet!$F$11)</f>
        <v>8.4960753532182043</v>
      </c>
      <c r="F76" s="44" t="str">
        <f t="shared" si="9"/>
        <v>DCM</v>
      </c>
      <c r="G76" s="44">
        <f>H76-worksheet!$F$8*D76/worksheet!$F$42/1000</f>
        <v>0</v>
      </c>
      <c r="H76" s="44">
        <f>C76/worksheet!$F$52</f>
        <v>1.9273504273504256</v>
      </c>
      <c r="I76" s="44">
        <f>0.5*worksheet!$F$62/100*worksheet!$F$29*(G76+H76)*E76*B76/1000*worksheet!$F$11</f>
        <v>52.01250771551215</v>
      </c>
      <c r="J76" s="46">
        <f t="shared" si="10"/>
        <v>68.235294117647058</v>
      </c>
      <c r="L76" s="44">
        <v>2.56</v>
      </c>
      <c r="M76" s="44" t="str">
        <f>IF(worksheet!$F$10="Rapid charger",50+(worksheet!$F$16-50)*(worksheet!J$11-3)/(worksheet!$F$14-3)," ")</f>
        <v xml:space="preserve"> </v>
      </c>
      <c r="N76" s="60">
        <f t="shared" si="8"/>
        <v>0.36433333333333301</v>
      </c>
      <c r="O76" s="44" t="e">
        <f>MIN(1000*worksheet!$F$37/M76,1000*worksheet!$F$42*N76/worksheet!$F$52/worksheet!$F$8)</f>
        <v>#VALUE!</v>
      </c>
      <c r="P76" s="44" t="e">
        <f>MIN(1000*(1-worksheet!$F$37/M76),worksheet!$F$8*O76/worksheet!$F$29/worksheet!$J$11)</f>
        <v>#VALUE!</v>
      </c>
      <c r="Q76" s="44" t="e">
        <f t="shared" si="11"/>
        <v>#VALUE!</v>
      </c>
      <c r="R76" s="44" t="e">
        <f>S76-worksheet!$F$8*O76/worksheet!$F$42/1000</f>
        <v>#VALUE!</v>
      </c>
      <c r="S76" s="44">
        <f>N76/worksheet!$F$52</f>
        <v>1.8683760683760666</v>
      </c>
      <c r="T76" s="44" t="e">
        <f>0.5*worksheet!$F$62/100*worksheet!$F$29*(R76+S76)*P76*M76/1000*worksheet!$J$11</f>
        <v>#VALUE!</v>
      </c>
    </row>
    <row r="77" spans="1:20">
      <c r="A77" s="44">
        <v>2.58</v>
      </c>
      <c r="B77" s="44">
        <f>IF(worksheet!$F$10="Rapid charger",IF(worksheet!$F$11&gt;20,50+(worksheet!$F$16-50)*(worksheet!$F$11-3)/(worksheet!$F$11-3),50+(worksheet!$F$16-50)*(worksheet!$F$11-3)/(worksheet!$F$14-3)),IF(worksheet!$F$18&gt;20,50+(worksheet!$F$16-50)*(worksheet!$F$18-3)/(worksheet!$F$18-3),50+(worksheet!$F$16-50)*(worksheet!$F$18-3)/(worksheet!$F$14-3)))</f>
        <v>68.235294117647058</v>
      </c>
      <c r="C77" s="60">
        <f t="shared" si="7"/>
        <v>0.37999999999999967</v>
      </c>
      <c r="D77" s="44">
        <f>MIN(1000*worksheet!$F$36/B77,1000*worksheet!$F$42*C77/worksheet!$F$52/worksheet!$F$8)</f>
        <v>3.8265734265734226</v>
      </c>
      <c r="E77" s="44">
        <f>MIN(1000*(1-worksheet!$F$36/B77),worksheet!$F$8*D77/worksheet!$F$29/worksheet!$F$11)</f>
        <v>8.590266875981154</v>
      </c>
      <c r="F77" s="44" t="str">
        <f t="shared" si="9"/>
        <v>DCM</v>
      </c>
      <c r="G77" s="44">
        <f>H77-worksheet!$F$8*D77/worksheet!$F$42/1000</f>
        <v>0</v>
      </c>
      <c r="H77" s="44">
        <f>C77/worksheet!$F$52</f>
        <v>1.9487179487179469</v>
      </c>
      <c r="I77" s="44">
        <f>0.5*worksheet!$F$62/100*worksheet!$F$29*(G77+H77)*E77*B77/1000*worksheet!$F$11</f>
        <v>53.172171249564812</v>
      </c>
      <c r="J77" s="46">
        <f t="shared" si="10"/>
        <v>68.235294117647058</v>
      </c>
      <c r="L77" s="44">
        <v>2.58</v>
      </c>
      <c r="M77" s="44" t="str">
        <f>IF(worksheet!$F$10="Rapid charger",50+(worksheet!$F$16-50)*(worksheet!J$11-3)/(worksheet!$F$14-3)," ")</f>
        <v xml:space="preserve"> </v>
      </c>
      <c r="N77" s="60">
        <f t="shared" si="8"/>
        <v>0.36799999999999966</v>
      </c>
      <c r="O77" s="44" t="e">
        <f>MIN(1000*worksheet!$F$37/M77,1000*worksheet!$F$42*N77/worksheet!$F$52/worksheet!$F$8)</f>
        <v>#VALUE!</v>
      </c>
      <c r="P77" s="44" t="e">
        <f>MIN(1000*(1-worksheet!$F$37/M77),worksheet!$F$8*O77/worksheet!$F$29/worksheet!$J$11)</f>
        <v>#VALUE!</v>
      </c>
      <c r="Q77" s="44" t="e">
        <f t="shared" si="11"/>
        <v>#VALUE!</v>
      </c>
      <c r="R77" s="44" t="e">
        <f>S77-worksheet!$F$8*O77/worksheet!$F$42/1000</f>
        <v>#VALUE!</v>
      </c>
      <c r="S77" s="44">
        <f>N77/worksheet!$F$52</f>
        <v>1.8871794871794854</v>
      </c>
      <c r="T77" s="44" t="e">
        <f>0.5*worksheet!$F$62/100*worksheet!$F$29*(R77+S77)*P77*M77/1000*worksheet!$J$11</f>
        <v>#VALUE!</v>
      </c>
    </row>
    <row r="78" spans="1:20">
      <c r="A78" s="44">
        <v>2.6</v>
      </c>
      <c r="B78" s="44">
        <f>IF(worksheet!$F$10="Rapid charger",IF(worksheet!$F$11&gt;20,50+(worksheet!$F$16-50)*(worksheet!$F$11-3)/(worksheet!$F$11-3),50+(worksheet!$F$16-50)*(worksheet!$F$11-3)/(worksheet!$F$14-3)),IF(worksheet!$F$18&gt;20,50+(worksheet!$F$16-50)*(worksheet!$F$18-3)/(worksheet!$F$18-3),50+(worksheet!$F$16-50)*(worksheet!$F$18-3)/(worksheet!$F$14-3)))</f>
        <v>68.235294117647058</v>
      </c>
      <c r="C78" s="60">
        <f t="shared" si="7"/>
        <v>0.38416666666666632</v>
      </c>
      <c r="D78" s="44">
        <f>MIN(1000*worksheet!$F$36/B78,1000*worksheet!$F$42*C78/worksheet!$F$52/worksheet!$F$8)</f>
        <v>3.8685314685314656</v>
      </c>
      <c r="E78" s="44">
        <f>MIN(1000*(1-worksheet!$F$36/B78),worksheet!$F$8*D78/worksheet!$F$29/worksheet!$F$11)</f>
        <v>8.6844583987441073</v>
      </c>
      <c r="F78" s="44" t="str">
        <f t="shared" si="9"/>
        <v>DCM</v>
      </c>
      <c r="G78" s="44">
        <f>H78-worksheet!$F$8*D78/worksheet!$F$42/1000</f>
        <v>0</v>
      </c>
      <c r="H78" s="44">
        <f>C78/worksheet!$F$52</f>
        <v>1.9700854700854682</v>
      </c>
      <c r="I78" s="44">
        <f>0.5*worksheet!$F$62/100*worksheet!$F$29*(G78+H78)*E78*B78/1000*worksheet!$F$11</f>
        <v>54.344620489615863</v>
      </c>
      <c r="J78" s="46">
        <f t="shared" si="10"/>
        <v>68.235294117647058</v>
      </c>
      <c r="L78" s="44">
        <v>2.6</v>
      </c>
      <c r="M78" s="44" t="str">
        <f>IF(worksheet!$F$10="Rapid charger",50+(worksheet!$F$16-50)*(worksheet!J$11-3)/(worksheet!$F$14-3)," ")</f>
        <v xml:space="preserve"> </v>
      </c>
      <c r="N78" s="60">
        <f t="shared" si="8"/>
        <v>0.37166666666666631</v>
      </c>
      <c r="O78" s="44" t="e">
        <f>MIN(1000*worksheet!$F$37/M78,1000*worksheet!$F$42*N78/worksheet!$F$52/worksheet!$F$8)</f>
        <v>#VALUE!</v>
      </c>
      <c r="P78" s="44" t="e">
        <f>MIN(1000*(1-worksheet!$F$37/M78),worksheet!$F$8*O78/worksheet!$F$29/worksheet!$J$11)</f>
        <v>#VALUE!</v>
      </c>
      <c r="Q78" s="44" t="e">
        <f t="shared" si="11"/>
        <v>#VALUE!</v>
      </c>
      <c r="R78" s="44" t="e">
        <f>S78-worksheet!$F$8*O78/worksheet!$F$42/1000</f>
        <v>#VALUE!</v>
      </c>
      <c r="S78" s="44">
        <f>N78/worksheet!$F$52</f>
        <v>1.9059829059829041</v>
      </c>
      <c r="T78" s="44" t="e">
        <f>0.5*worksheet!$F$62/100*worksheet!$F$29*(R78+S78)*P78*M78/1000*worksheet!$J$11</f>
        <v>#VALUE!</v>
      </c>
    </row>
    <row r="79" spans="1:20">
      <c r="A79" s="44">
        <v>2.62</v>
      </c>
      <c r="B79" s="44">
        <f>IF(worksheet!$F$10="Rapid charger",IF(worksheet!$F$11&gt;20,50+(worksheet!$F$16-50)*(worksheet!$F$11-3)/(worksheet!$F$11-3),50+(worksheet!$F$16-50)*(worksheet!$F$11-3)/(worksheet!$F$14-3)),IF(worksheet!$F$18&gt;20,50+(worksheet!$F$16-50)*(worksheet!$F$18-3)/(worksheet!$F$18-3),50+(worksheet!$F$16-50)*(worksheet!$F$18-3)/(worksheet!$F$14-3)))</f>
        <v>68.235294117647058</v>
      </c>
      <c r="C79" s="60">
        <f t="shared" si="7"/>
        <v>0.38833333333333298</v>
      </c>
      <c r="D79" s="44">
        <f>MIN(1000*worksheet!$F$36/B79,1000*worksheet!$F$42*C79/worksheet!$F$52/worksheet!$F$8)</f>
        <v>3.9104895104895068</v>
      </c>
      <c r="E79" s="44">
        <f>MIN(1000*(1-worksheet!$F$36/B79),worksheet!$F$8*D79/worksheet!$F$29/worksheet!$F$11)</f>
        <v>8.7786499215070553</v>
      </c>
      <c r="F79" s="44" t="str">
        <f t="shared" si="9"/>
        <v>DCM</v>
      </c>
      <c r="G79" s="44">
        <f>H79-worksheet!$F$8*D79/worksheet!$F$42/1000</f>
        <v>0</v>
      </c>
      <c r="H79" s="44">
        <f>C79/worksheet!$F$52</f>
        <v>1.9914529914529895</v>
      </c>
      <c r="I79" s="44">
        <f>0.5*worksheet!$F$62/100*worksheet!$F$29*(G79+H79)*E79*B79/1000*worksheet!$F$11</f>
        <v>55.529855435665276</v>
      </c>
      <c r="J79" s="46">
        <f t="shared" si="10"/>
        <v>68.235294117647058</v>
      </c>
      <c r="L79" s="44">
        <v>2.62</v>
      </c>
      <c r="M79" s="44" t="str">
        <f>IF(worksheet!$F$10="Rapid charger",50+(worksheet!$F$16-50)*(worksheet!J$11-3)/(worksheet!$F$14-3)," ")</f>
        <v xml:space="preserve"> </v>
      </c>
      <c r="N79" s="60">
        <f t="shared" si="8"/>
        <v>0.37533333333333296</v>
      </c>
      <c r="O79" s="44" t="e">
        <f>MIN(1000*worksheet!$F$37/M79,1000*worksheet!$F$42*N79/worksheet!$F$52/worksheet!$F$8)</f>
        <v>#VALUE!</v>
      </c>
      <c r="P79" s="44" t="e">
        <f>MIN(1000*(1-worksheet!$F$37/M79),worksheet!$F$8*O79/worksheet!$F$29/worksheet!$J$11)</f>
        <v>#VALUE!</v>
      </c>
      <c r="Q79" s="44" t="e">
        <f t="shared" si="11"/>
        <v>#VALUE!</v>
      </c>
      <c r="R79" s="44" t="e">
        <f>S79-worksheet!$F$8*O79/worksheet!$F$42/1000</f>
        <v>#VALUE!</v>
      </c>
      <c r="S79" s="44">
        <f>N79/worksheet!$F$52</f>
        <v>1.9247863247863228</v>
      </c>
      <c r="T79" s="44" t="e">
        <f>0.5*worksheet!$F$62/100*worksheet!$F$29*(R79+S79)*P79*M79/1000*worksheet!$J$11</f>
        <v>#VALUE!</v>
      </c>
    </row>
    <row r="80" spans="1:20">
      <c r="A80" s="44">
        <v>2.64</v>
      </c>
      <c r="B80" s="44">
        <f>IF(worksheet!$F$10="Rapid charger",IF(worksheet!$F$11&gt;20,50+(worksheet!$F$16-50)*(worksheet!$F$11-3)/(worksheet!$F$11-3),50+(worksheet!$F$16-50)*(worksheet!$F$11-3)/(worksheet!$F$14-3)),IF(worksheet!$F$18&gt;20,50+(worksheet!$F$16-50)*(worksheet!$F$18-3)/(worksheet!$F$18-3),50+(worksheet!$F$16-50)*(worksheet!$F$18-3)/(worksheet!$F$14-3)))</f>
        <v>68.235294117647058</v>
      </c>
      <c r="C80" s="60">
        <f t="shared" si="7"/>
        <v>0.39249999999999963</v>
      </c>
      <c r="D80" s="44">
        <f>MIN(1000*worksheet!$F$36/B80,1000*worksheet!$F$42*C80/worksheet!$F$52/worksheet!$F$8)</f>
        <v>3.9524475524475484</v>
      </c>
      <c r="E80" s="44">
        <f>MIN(1000*(1-worksheet!$F$36/B80),worksheet!$F$8*D80/worksheet!$F$29/worksheet!$F$11)</f>
        <v>8.8728414442700068</v>
      </c>
      <c r="F80" s="44" t="str">
        <f t="shared" si="9"/>
        <v>DCM</v>
      </c>
      <c r="G80" s="44">
        <f>H80-worksheet!$F$8*D80/worksheet!$F$42/1000</f>
        <v>0</v>
      </c>
      <c r="H80" s="44">
        <f>C80/worksheet!$F$52</f>
        <v>2.012820512820511</v>
      </c>
      <c r="I80" s="44">
        <f>0.5*worksheet!$F$62/100*worksheet!$F$29*(G80+H80)*E80*B80/1000*worksheet!$F$11</f>
        <v>56.727876087713078</v>
      </c>
      <c r="J80" s="46">
        <f t="shared" si="10"/>
        <v>68.235294117647058</v>
      </c>
      <c r="L80" s="44">
        <v>2.64</v>
      </c>
      <c r="M80" s="44" t="str">
        <f>IF(worksheet!$F$10="Rapid charger",50+(worksheet!$F$16-50)*(worksheet!J$11-3)/(worksheet!$F$14-3)," ")</f>
        <v xml:space="preserve"> </v>
      </c>
      <c r="N80" s="60">
        <f t="shared" si="8"/>
        <v>0.37899999999999961</v>
      </c>
      <c r="O80" s="44" t="e">
        <f>MIN(1000*worksheet!$F$37/M80,1000*worksheet!$F$42*N80/worksheet!$F$52/worksheet!$F$8)</f>
        <v>#VALUE!</v>
      </c>
      <c r="P80" s="44" t="e">
        <f>MIN(1000*(1-worksheet!$F$37/M80),worksheet!$F$8*O80/worksheet!$F$29/worksheet!$J$11)</f>
        <v>#VALUE!</v>
      </c>
      <c r="Q80" s="44" t="e">
        <f t="shared" si="11"/>
        <v>#VALUE!</v>
      </c>
      <c r="R80" s="44" t="e">
        <f>S80-worksheet!$F$8*O80/worksheet!$F$42/1000</f>
        <v>#VALUE!</v>
      </c>
      <c r="S80" s="44">
        <f>N80/worksheet!$F$52</f>
        <v>1.9435897435897416</v>
      </c>
      <c r="T80" s="44" t="e">
        <f>0.5*worksheet!$F$62/100*worksheet!$F$29*(R80+S80)*P80*M80/1000*worksheet!$J$11</f>
        <v>#VALUE!</v>
      </c>
    </row>
    <row r="81" spans="1:20">
      <c r="A81" s="44">
        <v>2.66</v>
      </c>
      <c r="B81" s="44">
        <f>IF(worksheet!$F$10="Rapid charger",IF(worksheet!$F$11&gt;20,50+(worksheet!$F$16-50)*(worksheet!$F$11-3)/(worksheet!$F$11-3),50+(worksheet!$F$16-50)*(worksheet!$F$11-3)/(worksheet!$F$14-3)),IF(worksheet!$F$18&gt;20,50+(worksheet!$F$16-50)*(worksheet!$F$18-3)/(worksheet!$F$18-3),50+(worksheet!$F$16-50)*(worksheet!$F$18-3)/(worksheet!$F$14-3)))</f>
        <v>68.235294117647058</v>
      </c>
      <c r="C81" s="60">
        <f t="shared" si="7"/>
        <v>0.39666666666666628</v>
      </c>
      <c r="D81" s="44">
        <f>MIN(1000*worksheet!$F$36/B81,1000*worksheet!$F$42*C81/worksheet!$F$52/worksheet!$F$8)</f>
        <v>3.9944055944055905</v>
      </c>
      <c r="E81" s="44">
        <f>MIN(1000*(1-worksheet!$F$36/B81),worksheet!$F$8*D81/worksheet!$F$29/worksheet!$F$11)</f>
        <v>8.9670329670329583</v>
      </c>
      <c r="F81" s="44" t="str">
        <f t="shared" si="9"/>
        <v>DCM</v>
      </c>
      <c r="G81" s="44">
        <f>H81-worksheet!$F$8*D81/worksheet!$F$42/1000</f>
        <v>0</v>
      </c>
      <c r="H81" s="44">
        <f>C81/worksheet!$F$52</f>
        <v>2.0341880341880323</v>
      </c>
      <c r="I81" s="44">
        <f>0.5*worksheet!$F$62/100*worksheet!$F$29*(G81+H81)*E81*B81/1000*worksheet!$F$11</f>
        <v>57.938682445759255</v>
      </c>
      <c r="J81" s="46">
        <f t="shared" si="10"/>
        <v>68.235294117647058</v>
      </c>
      <c r="L81" s="44">
        <v>2.66</v>
      </c>
      <c r="M81" s="44" t="str">
        <f>IF(worksheet!$F$10="Rapid charger",50+(worksheet!$F$16-50)*(worksheet!J$11-3)/(worksheet!$F$14-3)," ")</f>
        <v xml:space="preserve"> </v>
      </c>
      <c r="N81" s="60">
        <f t="shared" si="8"/>
        <v>0.38266666666666627</v>
      </c>
      <c r="O81" s="44" t="e">
        <f>MIN(1000*worksheet!$F$37/M81,1000*worksheet!$F$42*N81/worksheet!$F$52/worksheet!$F$8)</f>
        <v>#VALUE!</v>
      </c>
      <c r="P81" s="44" t="e">
        <f>MIN(1000*(1-worksheet!$F$37/M81),worksheet!$F$8*O81/worksheet!$F$29/worksheet!$J$11)</f>
        <v>#VALUE!</v>
      </c>
      <c r="Q81" s="44" t="e">
        <f t="shared" si="11"/>
        <v>#VALUE!</v>
      </c>
      <c r="R81" s="44" t="e">
        <f>S81-worksheet!$F$8*O81/worksheet!$F$42/1000</f>
        <v>#VALUE!</v>
      </c>
      <c r="S81" s="44">
        <f>N81/worksheet!$F$52</f>
        <v>1.9623931623931603</v>
      </c>
      <c r="T81" s="44" t="e">
        <f>0.5*worksheet!$F$62/100*worksheet!$F$29*(R81+S81)*P81*M81/1000*worksheet!$J$11</f>
        <v>#VALUE!</v>
      </c>
    </row>
    <row r="82" spans="1:20">
      <c r="A82" s="44">
        <v>2.68</v>
      </c>
      <c r="B82" s="44">
        <f>IF(worksheet!$F$10="Rapid charger",IF(worksheet!$F$11&gt;20,50+(worksheet!$F$16-50)*(worksheet!$F$11-3)/(worksheet!$F$11-3),50+(worksheet!$F$16-50)*(worksheet!$F$11-3)/(worksheet!$F$14-3)),IF(worksheet!$F$18&gt;20,50+(worksheet!$F$16-50)*(worksheet!$F$18-3)/(worksheet!$F$18-3),50+(worksheet!$F$16-50)*(worksheet!$F$18-3)/(worksheet!$F$14-3)))</f>
        <v>68.235294117647058</v>
      </c>
      <c r="C82" s="60">
        <f t="shared" si="7"/>
        <v>0.40083333333333293</v>
      </c>
      <c r="D82" s="44">
        <f>MIN(1000*worksheet!$F$36/B82,1000*worksheet!$F$42*C82/worksheet!$F$52/worksheet!$F$8)</f>
        <v>4.0363636363636326</v>
      </c>
      <c r="E82" s="44">
        <f>MIN(1000*(1-worksheet!$F$36/B82),worksheet!$F$8*D82/worksheet!$F$29/worksheet!$F$11)</f>
        <v>9.0612244897959098</v>
      </c>
      <c r="F82" s="44" t="str">
        <f t="shared" si="9"/>
        <v>DCM</v>
      </c>
      <c r="G82" s="44">
        <f>H82-worksheet!$F$8*D82/worksheet!$F$42/1000</f>
        <v>0</v>
      </c>
      <c r="H82" s="44">
        <f>C82/worksheet!$F$52</f>
        <v>2.0555555555555536</v>
      </c>
      <c r="I82" s="44">
        <f>0.5*worksheet!$F$62/100*worksheet!$F$29*(G82+H82)*E82*B82/1000*worksheet!$F$11</f>
        <v>59.162274509803794</v>
      </c>
      <c r="J82" s="46">
        <f t="shared" si="10"/>
        <v>68.235294117647058</v>
      </c>
      <c r="L82" s="44">
        <v>2.68</v>
      </c>
      <c r="M82" s="44" t="str">
        <f>IF(worksheet!$F$10="Rapid charger",50+(worksheet!$F$16-50)*(worksheet!J$11-3)/(worksheet!$F$14-3)," ")</f>
        <v xml:space="preserve"> </v>
      </c>
      <c r="N82" s="60">
        <f t="shared" si="8"/>
        <v>0.38633333333333292</v>
      </c>
      <c r="O82" s="44" t="e">
        <f>MIN(1000*worksheet!$F$37/M82,1000*worksheet!$F$42*N82/worksheet!$F$52/worksheet!$F$8)</f>
        <v>#VALUE!</v>
      </c>
      <c r="P82" s="44" t="e">
        <f>MIN(1000*(1-worksheet!$F$37/M82),worksheet!$F$8*O82/worksheet!$F$29/worksheet!$J$11)</f>
        <v>#VALUE!</v>
      </c>
      <c r="Q82" s="44" t="e">
        <f t="shared" si="11"/>
        <v>#VALUE!</v>
      </c>
      <c r="R82" s="44" t="e">
        <f>S82-worksheet!$F$8*O82/worksheet!$F$42/1000</f>
        <v>#VALUE!</v>
      </c>
      <c r="S82" s="44">
        <f>N82/worksheet!$F$52</f>
        <v>1.981196581196579</v>
      </c>
      <c r="T82" s="44" t="e">
        <f>0.5*worksheet!$F$62/100*worksheet!$F$29*(R82+S82)*P82*M82/1000*worksheet!$J$11</f>
        <v>#VALUE!</v>
      </c>
    </row>
    <row r="83" spans="1:20">
      <c r="A83" s="44">
        <v>2.7</v>
      </c>
      <c r="B83" s="44">
        <f>IF(worksheet!$F$10="Rapid charger",IF(worksheet!$F$11&gt;20,50+(worksheet!$F$16-50)*(worksheet!$F$11-3)/(worksheet!$F$11-3),50+(worksheet!$F$16-50)*(worksheet!$F$11-3)/(worksheet!$F$14-3)),IF(worksheet!$F$18&gt;20,50+(worksheet!$F$16-50)*(worksheet!$F$18-3)/(worksheet!$F$18-3),50+(worksheet!$F$16-50)*(worksheet!$F$18-3)/(worksheet!$F$14-3)))</f>
        <v>68.235294117647058</v>
      </c>
      <c r="C83" s="60">
        <f t="shared" si="7"/>
        <v>0.40499999999999958</v>
      </c>
      <c r="D83" s="44">
        <f>MIN(1000*worksheet!$F$36/B83,1000*worksheet!$F$42*C83/worksheet!$F$52/worksheet!$F$8)</f>
        <v>4.0783216783216742</v>
      </c>
      <c r="E83" s="44">
        <f>MIN(1000*(1-worksheet!$F$36/B83),worksheet!$F$8*D83/worksheet!$F$29/worksheet!$F$11)</f>
        <v>9.1554160125588613</v>
      </c>
      <c r="F83" s="44" t="str">
        <f t="shared" si="9"/>
        <v>DCM</v>
      </c>
      <c r="G83" s="44">
        <f>H83-worksheet!$F$8*D83/worksheet!$F$42/1000</f>
        <v>0</v>
      </c>
      <c r="H83" s="44">
        <f>C83/worksheet!$F$52</f>
        <v>2.0769230769230749</v>
      </c>
      <c r="I83" s="44">
        <f>0.5*worksheet!$F$62/100*worksheet!$F$29*(G83+H83)*E83*B83/1000*worksheet!$F$11</f>
        <v>60.398652279846736</v>
      </c>
      <c r="J83" s="46">
        <f t="shared" si="10"/>
        <v>68.235294117647058</v>
      </c>
      <c r="L83" s="44">
        <v>2.7</v>
      </c>
      <c r="M83" s="44" t="str">
        <f>IF(worksheet!$F$10="Rapid charger",50+(worksheet!$F$16-50)*(worksheet!J$11-3)/(worksheet!$F$14-3)," ")</f>
        <v xml:space="preserve"> </v>
      </c>
      <c r="N83" s="60">
        <f t="shared" si="8"/>
        <v>0.38999999999999957</v>
      </c>
      <c r="O83" s="44" t="e">
        <f>MIN(1000*worksheet!$F$37/M83,1000*worksheet!$F$42*N83/worksheet!$F$52/worksheet!$F$8)</f>
        <v>#VALUE!</v>
      </c>
      <c r="P83" s="44" t="e">
        <f>MIN(1000*(1-worksheet!$F$37/M83),worksheet!$F$8*O83/worksheet!$F$29/worksheet!$J$11)</f>
        <v>#VALUE!</v>
      </c>
      <c r="Q83" s="44" t="e">
        <f t="shared" si="11"/>
        <v>#VALUE!</v>
      </c>
      <c r="R83" s="44" t="e">
        <f>S83-worksheet!$F$8*O83/worksheet!$F$42/1000</f>
        <v>#VALUE!</v>
      </c>
      <c r="S83" s="44">
        <f>N83/worksheet!$F$52</f>
        <v>1.9999999999999978</v>
      </c>
      <c r="T83" s="44" t="e">
        <f>0.5*worksheet!$F$62/100*worksheet!$F$29*(R83+S83)*P83*M83/1000*worksheet!$J$11</f>
        <v>#VALUE!</v>
      </c>
    </row>
    <row r="84" spans="1:20">
      <c r="A84" s="44">
        <v>2.72</v>
      </c>
      <c r="B84" s="44">
        <f>IF(worksheet!$F$10="Rapid charger",IF(worksheet!$F$11&gt;20,50+(worksheet!$F$16-50)*(worksheet!$F$11-3)/(worksheet!$F$11-3),50+(worksheet!$F$16-50)*(worksheet!$F$11-3)/(worksheet!$F$14-3)),IF(worksheet!$F$18&gt;20,50+(worksheet!$F$16-50)*(worksheet!$F$18-3)/(worksheet!$F$18-3),50+(worksheet!$F$16-50)*(worksheet!$F$18-3)/(worksheet!$F$14-3)))</f>
        <v>68.235294117647058</v>
      </c>
      <c r="C84" s="60">
        <f t="shared" si="7"/>
        <v>0.40916666666666623</v>
      </c>
      <c r="D84" s="44">
        <f>MIN(1000*worksheet!$F$36/B84,1000*worksheet!$F$42*C84/worksheet!$F$52/worksheet!$F$8)</f>
        <v>4.1202797202797159</v>
      </c>
      <c r="E84" s="44">
        <f>MIN(1000*(1-worksheet!$F$36/B84),worksheet!$F$8*D84/worksheet!$F$29/worksheet!$F$11)</f>
        <v>9.2496075353218128</v>
      </c>
      <c r="F84" s="44" t="str">
        <f t="shared" si="9"/>
        <v>DCM</v>
      </c>
      <c r="G84" s="44">
        <f>H84-worksheet!$F$8*D84/worksheet!$F$42/1000</f>
        <v>0</v>
      </c>
      <c r="H84" s="44">
        <f>C84/worksheet!$F$52</f>
        <v>2.0982905982905962</v>
      </c>
      <c r="I84" s="44">
        <f>0.5*worksheet!$F$62/100*worksheet!$F$29*(G84+H84)*E84*B84/1000*worksheet!$F$11</f>
        <v>61.647815755888033</v>
      </c>
      <c r="J84" s="46">
        <f t="shared" si="10"/>
        <v>68.235294117647058</v>
      </c>
      <c r="L84" s="44">
        <v>2.72</v>
      </c>
      <c r="M84" s="44" t="str">
        <f>IF(worksheet!$F$10="Rapid charger",50+(worksheet!$F$16-50)*(worksheet!J$11-3)/(worksheet!$F$14-3)," ")</f>
        <v xml:space="preserve"> </v>
      </c>
      <c r="N84" s="60">
        <f t="shared" si="8"/>
        <v>0.39366666666666622</v>
      </c>
      <c r="O84" s="44" t="e">
        <f>MIN(1000*worksheet!$F$37/M84,1000*worksheet!$F$42*N84/worksheet!$F$52/worksheet!$F$8)</f>
        <v>#VALUE!</v>
      </c>
      <c r="P84" s="44" t="e">
        <f>MIN(1000*(1-worksheet!$F$37/M84),worksheet!$F$8*O84/worksheet!$F$29/worksheet!$J$11)</f>
        <v>#VALUE!</v>
      </c>
      <c r="Q84" s="44" t="e">
        <f t="shared" si="11"/>
        <v>#VALUE!</v>
      </c>
      <c r="R84" s="44" t="e">
        <f>S84-worksheet!$F$8*O84/worksheet!$F$42/1000</f>
        <v>#VALUE!</v>
      </c>
      <c r="S84" s="44">
        <f>N84/worksheet!$F$52</f>
        <v>2.0188034188034165</v>
      </c>
      <c r="T84" s="44" t="e">
        <f>0.5*worksheet!$F$62/100*worksheet!$F$29*(R84+S84)*P84*M84/1000*worksheet!$J$11</f>
        <v>#VALUE!</v>
      </c>
    </row>
    <row r="85" spans="1:20">
      <c r="A85" s="44">
        <v>2.74</v>
      </c>
      <c r="B85" s="44">
        <f>IF(worksheet!$F$10="Rapid charger",IF(worksheet!$F$11&gt;20,50+(worksheet!$F$16-50)*(worksheet!$F$11-3)/(worksheet!$F$11-3),50+(worksheet!$F$16-50)*(worksheet!$F$11-3)/(worksheet!$F$14-3)),IF(worksheet!$F$18&gt;20,50+(worksheet!$F$16-50)*(worksheet!$F$18-3)/(worksheet!$F$18-3),50+(worksheet!$F$16-50)*(worksheet!$F$18-3)/(worksheet!$F$14-3)))</f>
        <v>68.235294117647058</v>
      </c>
      <c r="C85" s="60">
        <f t="shared" si="7"/>
        <v>0.41333333333333289</v>
      </c>
      <c r="D85" s="44">
        <f>MIN(1000*worksheet!$F$36/B85,1000*worksheet!$F$42*C85/worksheet!$F$52/worksheet!$F$8)</f>
        <v>4.1622377622377575</v>
      </c>
      <c r="E85" s="44">
        <f>MIN(1000*(1-worksheet!$F$36/B85),worksheet!$F$8*D85/worksheet!$F$29/worksheet!$F$11)</f>
        <v>9.3437990580847607</v>
      </c>
      <c r="F85" s="44" t="str">
        <f t="shared" si="9"/>
        <v>DCM</v>
      </c>
      <c r="G85" s="44">
        <f>H85-worksheet!$F$8*D85/worksheet!$F$42/1000</f>
        <v>0</v>
      </c>
      <c r="H85" s="44">
        <f>C85/worksheet!$F$52</f>
        <v>2.1196581196581175</v>
      </c>
      <c r="I85" s="44">
        <f>0.5*worksheet!$F$62/100*worksheet!$F$29*(G85+H85)*E85*B85/1000*worksheet!$F$11</f>
        <v>62.90976493792769</v>
      </c>
      <c r="J85" s="46">
        <f t="shared" si="10"/>
        <v>68.235294117647058</v>
      </c>
      <c r="L85" s="44">
        <v>2.74</v>
      </c>
      <c r="M85" s="44" t="str">
        <f>IF(worksheet!$F$10="Rapid charger",50+(worksheet!$F$16-50)*(worksheet!J$11-3)/(worksheet!$F$14-3)," ")</f>
        <v xml:space="preserve"> </v>
      </c>
      <c r="N85" s="60">
        <f t="shared" si="8"/>
        <v>0.39733333333333287</v>
      </c>
      <c r="O85" s="44" t="e">
        <f>MIN(1000*worksheet!$F$37/M85,1000*worksheet!$F$42*N85/worksheet!$F$52/worksheet!$F$8)</f>
        <v>#VALUE!</v>
      </c>
      <c r="P85" s="44" t="e">
        <f>MIN(1000*(1-worksheet!$F$37/M85),worksheet!$F$8*O85/worksheet!$F$29/worksheet!$J$11)</f>
        <v>#VALUE!</v>
      </c>
      <c r="Q85" s="44" t="e">
        <f t="shared" si="11"/>
        <v>#VALUE!</v>
      </c>
      <c r="R85" s="44" t="e">
        <f>S85-worksheet!$F$8*O85/worksheet!$F$42/1000</f>
        <v>#VALUE!</v>
      </c>
      <c r="S85" s="44">
        <f>N85/worksheet!$F$52</f>
        <v>2.0376068376068353</v>
      </c>
      <c r="T85" s="44" t="e">
        <f>0.5*worksheet!$F$62/100*worksheet!$F$29*(R85+S85)*P85*M85/1000*worksheet!$J$11</f>
        <v>#VALUE!</v>
      </c>
    </row>
    <row r="86" spans="1:20">
      <c r="A86" s="44">
        <v>2.76</v>
      </c>
      <c r="B86" s="44">
        <f>IF(worksheet!$F$10="Rapid charger",IF(worksheet!$F$11&gt;20,50+(worksheet!$F$16-50)*(worksheet!$F$11-3)/(worksheet!$F$11-3),50+(worksheet!$F$16-50)*(worksheet!$F$11-3)/(worksheet!$F$14-3)),IF(worksheet!$F$18&gt;20,50+(worksheet!$F$16-50)*(worksheet!$F$18-3)/(worksheet!$F$18-3),50+(worksheet!$F$16-50)*(worksheet!$F$18-3)/(worksheet!$F$14-3)))</f>
        <v>68.235294117647058</v>
      </c>
      <c r="C86" s="60">
        <f t="shared" si="7"/>
        <v>0.41749999999999954</v>
      </c>
      <c r="D86" s="44">
        <f>MIN(1000*worksheet!$F$36/B86,1000*worksheet!$F$42*C86/worksheet!$F$52/worksheet!$F$8)</f>
        <v>4.2041958041957992</v>
      </c>
      <c r="E86" s="44">
        <f>MIN(1000*(1-worksheet!$F$36/B86),worksheet!$F$8*D86/worksheet!$F$29/worksheet!$F$11)</f>
        <v>9.4379905808477123</v>
      </c>
      <c r="F86" s="44" t="str">
        <f t="shared" si="9"/>
        <v>DCM</v>
      </c>
      <c r="G86" s="44">
        <f>H86-worksheet!$F$8*D86/worksheet!$F$42/1000</f>
        <v>0</v>
      </c>
      <c r="H86" s="44">
        <f>C86/worksheet!$F$52</f>
        <v>2.1410256410256387</v>
      </c>
      <c r="I86" s="44">
        <f>0.5*worksheet!$F$62/100*worksheet!$F$29*(G86+H86)*E86*B86/1000*worksheet!$F$11</f>
        <v>64.184499825965744</v>
      </c>
      <c r="J86" s="46">
        <f t="shared" si="10"/>
        <v>68.235294117647058</v>
      </c>
      <c r="L86" s="44">
        <v>2.76</v>
      </c>
      <c r="M86" s="44" t="str">
        <f>IF(worksheet!$F$10="Rapid charger",50+(worksheet!$F$16-50)*(worksheet!J$11-3)/(worksheet!$F$14-3)," ")</f>
        <v xml:space="preserve"> </v>
      </c>
      <c r="N86" s="60">
        <f t="shared" si="8"/>
        <v>0.40099999999999952</v>
      </c>
      <c r="O86" s="44" t="e">
        <f>MIN(1000*worksheet!$F$37/M86,1000*worksheet!$F$42*N86/worksheet!$F$52/worksheet!$F$8)</f>
        <v>#VALUE!</v>
      </c>
      <c r="P86" s="44" t="e">
        <f>MIN(1000*(1-worksheet!$F$37/M86),worksheet!$F$8*O86/worksheet!$F$29/worksheet!$J$11)</f>
        <v>#VALUE!</v>
      </c>
      <c r="Q86" s="44" t="e">
        <f t="shared" si="11"/>
        <v>#VALUE!</v>
      </c>
      <c r="R86" s="44" t="e">
        <f>S86-worksheet!$F$8*O86/worksheet!$F$42/1000</f>
        <v>#VALUE!</v>
      </c>
      <c r="S86" s="44">
        <f>N86/worksheet!$F$52</f>
        <v>2.056410256410254</v>
      </c>
      <c r="T86" s="44" t="e">
        <f>0.5*worksheet!$F$62/100*worksheet!$F$29*(R86+S86)*P86*M86/1000*worksheet!$J$11</f>
        <v>#VALUE!</v>
      </c>
    </row>
    <row r="87" spans="1:20">
      <c r="A87" s="44">
        <v>2.78</v>
      </c>
      <c r="B87" s="44">
        <f>IF(worksheet!$F$10="Rapid charger",IF(worksheet!$F$11&gt;20,50+(worksheet!$F$16-50)*(worksheet!$F$11-3)/(worksheet!$F$11-3),50+(worksheet!$F$16-50)*(worksheet!$F$11-3)/(worksheet!$F$14-3)),IF(worksheet!$F$18&gt;20,50+(worksheet!$F$16-50)*(worksheet!$F$18-3)/(worksheet!$F$18-3),50+(worksheet!$F$16-50)*(worksheet!$F$18-3)/(worksheet!$F$14-3)))</f>
        <v>68.235294117647058</v>
      </c>
      <c r="C87" s="60">
        <f t="shared" si="7"/>
        <v>0.42166666666666619</v>
      </c>
      <c r="D87" s="44">
        <f>MIN(1000*worksheet!$F$36/B87,1000*worksheet!$F$42*C87/worksheet!$F$52/worksheet!$F$8)</f>
        <v>4.2461538461538408</v>
      </c>
      <c r="E87" s="44">
        <f>MIN(1000*(1-worksheet!$F$36/B87),worksheet!$F$8*D87/worksheet!$F$29/worksheet!$F$11)</f>
        <v>9.5321821036106638</v>
      </c>
      <c r="F87" s="44" t="str">
        <f t="shared" si="9"/>
        <v>DCM</v>
      </c>
      <c r="G87" s="44">
        <f>H87-worksheet!$F$8*D87/worksheet!$F$42/1000</f>
        <v>0</v>
      </c>
      <c r="H87" s="44">
        <f>C87/worksheet!$F$52</f>
        <v>2.16239316239316</v>
      </c>
      <c r="I87" s="44">
        <f>0.5*worksheet!$F$62/100*worksheet!$F$29*(G87+H87)*E87*B87/1000*worksheet!$F$11</f>
        <v>65.472020420002167</v>
      </c>
      <c r="J87" s="46">
        <f t="shared" si="10"/>
        <v>68.235294117647058</v>
      </c>
      <c r="L87" s="44">
        <v>2.78</v>
      </c>
      <c r="M87" s="44" t="str">
        <f>IF(worksheet!$F$10="Rapid charger",50+(worksheet!$F$16-50)*(worksheet!J$11-3)/(worksheet!$F$14-3)," ")</f>
        <v xml:space="preserve"> </v>
      </c>
      <c r="N87" s="60">
        <f t="shared" si="8"/>
        <v>0.40466666666666617</v>
      </c>
      <c r="O87" s="44" t="e">
        <f>MIN(1000*worksheet!$F$37/M87,1000*worksheet!$F$42*N87/worksheet!$F$52/worksheet!$F$8)</f>
        <v>#VALUE!</v>
      </c>
      <c r="P87" s="44" t="e">
        <f>MIN(1000*(1-worksheet!$F$37/M87),worksheet!$F$8*O87/worksheet!$F$29/worksheet!$J$11)</f>
        <v>#VALUE!</v>
      </c>
      <c r="Q87" s="44" t="e">
        <f t="shared" si="11"/>
        <v>#VALUE!</v>
      </c>
      <c r="R87" s="44" t="e">
        <f>S87-worksheet!$F$8*O87/worksheet!$F$42/1000</f>
        <v>#VALUE!</v>
      </c>
      <c r="S87" s="44">
        <f>N87/worksheet!$F$52</f>
        <v>2.0752136752136727</v>
      </c>
      <c r="T87" s="44" t="e">
        <f>0.5*worksheet!$F$62/100*worksheet!$F$29*(R87+S87)*P87*M87/1000*worksheet!$J$11</f>
        <v>#VALUE!</v>
      </c>
    </row>
    <row r="88" spans="1:20">
      <c r="A88" s="44">
        <v>2.8</v>
      </c>
      <c r="B88" s="44">
        <f>IF(worksheet!$F$10="Rapid charger",IF(worksheet!$F$11&gt;20,50+(worksheet!$F$16-50)*(worksheet!$F$11-3)/(worksheet!$F$11-3),50+(worksheet!$F$16-50)*(worksheet!$F$11-3)/(worksheet!$F$14-3)),IF(worksheet!$F$18&gt;20,50+(worksheet!$F$16-50)*(worksheet!$F$18-3)/(worksheet!$F$18-3),50+(worksheet!$F$16-50)*(worksheet!$F$18-3)/(worksheet!$F$14-3)))</f>
        <v>68.235294117647058</v>
      </c>
      <c r="C88" s="60">
        <f t="shared" si="7"/>
        <v>0.42583333333333284</v>
      </c>
      <c r="D88" s="44">
        <f>MIN(1000*worksheet!$F$36/B88,1000*worksheet!$F$42*C88/worksheet!$F$52/worksheet!$F$8)</f>
        <v>4.2881118881118825</v>
      </c>
      <c r="E88" s="44">
        <f>MIN(1000*(1-worksheet!$F$36/B88),worksheet!$F$8*D88/worksheet!$F$29/worksheet!$F$11)</f>
        <v>9.6263736263736117</v>
      </c>
      <c r="F88" s="44" t="str">
        <f t="shared" si="9"/>
        <v>DCM</v>
      </c>
      <c r="G88" s="44">
        <f>H88-worksheet!$F$8*D88/worksheet!$F$42/1000</f>
        <v>0</v>
      </c>
      <c r="H88" s="44">
        <f>C88/worksheet!$F$52</f>
        <v>2.1837606837606813</v>
      </c>
      <c r="I88" s="44">
        <f>0.5*worksheet!$F$62/100*worksheet!$F$29*(G88+H88)*E88*B88/1000*worksheet!$F$11</f>
        <v>66.772326720036943</v>
      </c>
      <c r="J88" s="46">
        <f t="shared" si="10"/>
        <v>68.235294117647058</v>
      </c>
      <c r="L88" s="44">
        <v>2.8</v>
      </c>
      <c r="M88" s="44" t="str">
        <f>IF(worksheet!$F$10="Rapid charger",50+(worksheet!$F$16-50)*(worksheet!J$11-3)/(worksheet!$F$14-3)," ")</f>
        <v xml:space="preserve"> </v>
      </c>
      <c r="N88" s="60">
        <f t="shared" si="8"/>
        <v>0.40833333333333283</v>
      </c>
      <c r="O88" s="44" t="e">
        <f>MIN(1000*worksheet!$F$37/M88,1000*worksheet!$F$42*N88/worksheet!$F$52/worksheet!$F$8)</f>
        <v>#VALUE!</v>
      </c>
      <c r="P88" s="44" t="e">
        <f>MIN(1000*(1-worksheet!$F$37/M88),worksheet!$F$8*O88/worksheet!$F$29/worksheet!$J$11)</f>
        <v>#VALUE!</v>
      </c>
      <c r="Q88" s="44" t="e">
        <f t="shared" si="11"/>
        <v>#VALUE!</v>
      </c>
      <c r="R88" s="44" t="e">
        <f>S88-worksheet!$F$8*O88/worksheet!$F$42/1000</f>
        <v>#VALUE!</v>
      </c>
      <c r="S88" s="44">
        <f>N88/worksheet!$F$52</f>
        <v>2.0940170940170915</v>
      </c>
      <c r="T88" s="44" t="e">
        <f>0.5*worksheet!$F$62/100*worksheet!$F$29*(R88+S88)*P88*M88/1000*worksheet!$J$11</f>
        <v>#VALUE!</v>
      </c>
    </row>
    <row r="89" spans="1:20">
      <c r="A89" s="44">
        <v>2.82</v>
      </c>
      <c r="B89" s="44">
        <f>IF(worksheet!$F$10="Rapid charger",IF(worksheet!$F$11&gt;20,50+(worksheet!$F$16-50)*(worksheet!$F$11-3)/(worksheet!$F$11-3),50+(worksheet!$F$16-50)*(worksheet!$F$11-3)/(worksheet!$F$14-3)),IF(worksheet!$F$18&gt;20,50+(worksheet!$F$16-50)*(worksheet!$F$18-3)/(worksheet!$F$18-3),50+(worksheet!$F$16-50)*(worksheet!$F$18-3)/(worksheet!$F$14-3)))</f>
        <v>68.235294117647058</v>
      </c>
      <c r="C89" s="60">
        <f t="shared" si="7"/>
        <v>0.42999999999999949</v>
      </c>
      <c r="D89" s="44">
        <f>MIN(1000*worksheet!$F$36/B89,1000*worksheet!$F$42*C89/worksheet!$F$52/worksheet!$F$8)</f>
        <v>4.330069930069925</v>
      </c>
      <c r="E89" s="44">
        <f>MIN(1000*(1-worksheet!$F$36/B89),worksheet!$F$8*D89/worksheet!$F$29/worksheet!$F$11)</f>
        <v>9.720565149136565</v>
      </c>
      <c r="F89" s="44" t="str">
        <f t="shared" si="9"/>
        <v>DCM</v>
      </c>
      <c r="G89" s="44">
        <f>H89-worksheet!$F$8*D89/worksheet!$F$42/1000</f>
        <v>0</v>
      </c>
      <c r="H89" s="44">
        <f>C89/worksheet!$F$52</f>
        <v>2.2051282051282026</v>
      </c>
      <c r="I89" s="44">
        <f>0.5*worksheet!$F$62/100*worksheet!$F$29*(G89+H89)*E89*B89/1000*worksheet!$F$11</f>
        <v>68.085418726070145</v>
      </c>
      <c r="J89" s="46">
        <f t="shared" si="10"/>
        <v>68.235294117647058</v>
      </c>
      <c r="L89" s="44">
        <v>2.82</v>
      </c>
      <c r="M89" s="44" t="str">
        <f>IF(worksheet!$F$10="Rapid charger",50+(worksheet!$F$16-50)*(worksheet!J$11-3)/(worksheet!$F$14-3)," ")</f>
        <v xml:space="preserve"> </v>
      </c>
      <c r="N89" s="60">
        <f t="shared" si="8"/>
        <v>0.41199999999999948</v>
      </c>
      <c r="O89" s="44" t="e">
        <f>MIN(1000*worksheet!$F$37/M89,1000*worksheet!$F$42*N89/worksheet!$F$52/worksheet!$F$8)</f>
        <v>#VALUE!</v>
      </c>
      <c r="P89" s="44" t="e">
        <f>MIN(1000*(1-worksheet!$F$37/M89),worksheet!$F$8*O89/worksheet!$F$29/worksheet!$J$11)</f>
        <v>#VALUE!</v>
      </c>
      <c r="Q89" s="44" t="e">
        <f t="shared" si="11"/>
        <v>#VALUE!</v>
      </c>
      <c r="R89" s="44" t="e">
        <f>S89-worksheet!$F$8*O89/worksheet!$F$42/1000</f>
        <v>#VALUE!</v>
      </c>
      <c r="S89" s="44">
        <f>N89/worksheet!$F$52</f>
        <v>2.1128205128205102</v>
      </c>
      <c r="T89" s="44" t="e">
        <f>0.5*worksheet!$F$62/100*worksheet!$F$29*(R89+S89)*P89*M89/1000*worksheet!$J$11</f>
        <v>#VALUE!</v>
      </c>
    </row>
    <row r="90" spans="1:20">
      <c r="A90" s="44">
        <v>2.84</v>
      </c>
      <c r="B90" s="44">
        <f>IF(worksheet!$F$10="Rapid charger",IF(worksheet!$F$11&gt;20,50+(worksheet!$F$16-50)*(worksheet!$F$11-3)/(worksheet!$F$11-3),50+(worksheet!$F$16-50)*(worksheet!$F$11-3)/(worksheet!$F$14-3)),IF(worksheet!$F$18&gt;20,50+(worksheet!$F$16-50)*(worksheet!$F$18-3)/(worksheet!$F$18-3),50+(worksheet!$F$16-50)*(worksheet!$F$18-3)/(worksheet!$F$14-3)))</f>
        <v>68.235294117647058</v>
      </c>
      <c r="C90" s="60">
        <f t="shared" si="7"/>
        <v>0.43416666666666615</v>
      </c>
      <c r="D90" s="44">
        <f>MIN(1000*worksheet!$F$36/B90,1000*worksheet!$F$42*C90/worksheet!$F$52/worksheet!$F$8)</f>
        <v>4.3720279720279667</v>
      </c>
      <c r="E90" s="44">
        <f>MIN(1000*(1-worksheet!$F$36/B90),worksheet!$F$8*D90/worksheet!$F$29/worksheet!$F$11)</f>
        <v>9.8147566718995165</v>
      </c>
      <c r="F90" s="44" t="str">
        <f t="shared" si="9"/>
        <v>DCM</v>
      </c>
      <c r="G90" s="44">
        <f>H90-worksheet!$F$8*D90/worksheet!$F$42/1000</f>
        <v>0</v>
      </c>
      <c r="H90" s="44">
        <f>C90/worksheet!$F$52</f>
        <v>2.2264957264957239</v>
      </c>
      <c r="I90" s="44">
        <f>0.5*worksheet!$F$62/100*worksheet!$F$29*(G90+H90)*E90*B90/1000*worksheet!$F$11</f>
        <v>69.411296438101687</v>
      </c>
      <c r="J90" s="46">
        <f t="shared" si="10"/>
        <v>68.235294117647058</v>
      </c>
      <c r="L90" s="44">
        <v>2.84</v>
      </c>
      <c r="M90" s="44" t="str">
        <f>IF(worksheet!$F$10="Rapid charger",50+(worksheet!$F$16-50)*(worksheet!J$11-3)/(worksheet!$F$14-3)," ")</f>
        <v xml:space="preserve"> </v>
      </c>
      <c r="N90" s="60">
        <f t="shared" si="8"/>
        <v>0.41566666666666613</v>
      </c>
      <c r="O90" s="44" t="e">
        <f>MIN(1000*worksheet!$F$37/M90,1000*worksheet!$F$42*N90/worksheet!$F$52/worksheet!$F$8)</f>
        <v>#VALUE!</v>
      </c>
      <c r="P90" s="44" t="e">
        <f>MIN(1000*(1-worksheet!$F$37/M90),worksheet!$F$8*O90/worksheet!$F$29/worksheet!$J$11)</f>
        <v>#VALUE!</v>
      </c>
      <c r="Q90" s="44" t="e">
        <f t="shared" si="11"/>
        <v>#VALUE!</v>
      </c>
      <c r="R90" s="44" t="e">
        <f>S90-worksheet!$F$8*O90/worksheet!$F$42/1000</f>
        <v>#VALUE!</v>
      </c>
      <c r="S90" s="44">
        <f>N90/worksheet!$F$52</f>
        <v>2.1316239316239289</v>
      </c>
      <c r="T90" s="44" t="e">
        <f>0.5*worksheet!$F$62/100*worksheet!$F$29*(R90+S90)*P90*M90/1000*worksheet!$J$11</f>
        <v>#VALUE!</v>
      </c>
    </row>
    <row r="91" spans="1:20">
      <c r="A91" s="44">
        <v>2.86</v>
      </c>
      <c r="B91" s="44">
        <f>IF(worksheet!$F$10="Rapid charger",IF(worksheet!$F$11&gt;20,50+(worksheet!$F$16-50)*(worksheet!$F$11-3)/(worksheet!$F$11-3),50+(worksheet!$F$16-50)*(worksheet!$F$11-3)/(worksheet!$F$14-3)),IF(worksheet!$F$18&gt;20,50+(worksheet!$F$16-50)*(worksheet!$F$18-3)/(worksheet!$F$18-3),50+(worksheet!$F$16-50)*(worksheet!$F$18-3)/(worksheet!$F$14-3)))</f>
        <v>68.235294117647058</v>
      </c>
      <c r="C91" s="60">
        <f t="shared" si="7"/>
        <v>0.4383333333333328</v>
      </c>
      <c r="D91" s="44">
        <f>MIN(1000*worksheet!$F$36/B91,1000*worksheet!$F$42*C91/worksheet!$F$52/worksheet!$F$8)</f>
        <v>4.4139860139860083</v>
      </c>
      <c r="E91" s="44">
        <f>MIN(1000*(1-worksheet!$F$36/B91),worksheet!$F$8*D91/worksheet!$F$29/worksheet!$F$11)</f>
        <v>9.908948194662468</v>
      </c>
      <c r="F91" s="44" t="str">
        <f t="shared" si="9"/>
        <v>DCM</v>
      </c>
      <c r="G91" s="44">
        <f>H91-worksheet!$F$8*D91/worksheet!$F$42/1000</f>
        <v>0</v>
      </c>
      <c r="H91" s="44">
        <f>C91/worksheet!$F$52</f>
        <v>2.2478632478632452</v>
      </c>
      <c r="I91" s="44">
        <f>0.5*worksheet!$F$62/100*worksheet!$F$29*(G91+H91)*E91*B91/1000*worksheet!$F$11</f>
        <v>70.749959856131611</v>
      </c>
      <c r="J91" s="46">
        <f t="shared" si="10"/>
        <v>68.235294117647058</v>
      </c>
      <c r="L91" s="44">
        <v>2.86</v>
      </c>
      <c r="M91" s="44" t="str">
        <f>IF(worksheet!$F$10="Rapid charger",50+(worksheet!$F$16-50)*(worksheet!J$11-3)/(worksheet!$F$14-3)," ")</f>
        <v xml:space="preserve"> </v>
      </c>
      <c r="N91" s="60">
        <f t="shared" si="8"/>
        <v>0.41933333333333278</v>
      </c>
      <c r="O91" s="44" t="e">
        <f>MIN(1000*worksheet!$F$37/M91,1000*worksheet!$F$42*N91/worksheet!$F$52/worksheet!$F$8)</f>
        <v>#VALUE!</v>
      </c>
      <c r="P91" s="44" t="e">
        <f>MIN(1000*(1-worksheet!$F$37/M91),worksheet!$F$8*O91/worksheet!$F$29/worksheet!$J$11)</f>
        <v>#VALUE!</v>
      </c>
      <c r="Q91" s="44" t="e">
        <f t="shared" si="11"/>
        <v>#VALUE!</v>
      </c>
      <c r="R91" s="44" t="e">
        <f>S91-worksheet!$F$8*O91/worksheet!$F$42/1000</f>
        <v>#VALUE!</v>
      </c>
      <c r="S91" s="44">
        <f>N91/worksheet!$F$52</f>
        <v>2.1504273504273477</v>
      </c>
      <c r="T91" s="44" t="e">
        <f>0.5*worksheet!$F$62/100*worksheet!$F$29*(R91+S91)*P91*M91/1000*worksheet!$J$11</f>
        <v>#VALUE!</v>
      </c>
    </row>
    <row r="92" spans="1:20">
      <c r="A92" s="44">
        <v>2.88</v>
      </c>
      <c r="B92" s="44">
        <f>IF(worksheet!$F$10="Rapid charger",IF(worksheet!$F$11&gt;20,50+(worksheet!$F$16-50)*(worksheet!$F$11-3)/(worksheet!$F$11-3),50+(worksheet!$F$16-50)*(worksheet!$F$11-3)/(worksheet!$F$14-3)),IF(worksheet!$F$18&gt;20,50+(worksheet!$F$16-50)*(worksheet!$F$18-3)/(worksheet!$F$18-3),50+(worksheet!$F$16-50)*(worksheet!$F$18-3)/(worksheet!$F$14-3)))</f>
        <v>68.235294117647058</v>
      </c>
      <c r="C92" s="60">
        <f t="shared" si="7"/>
        <v>0.44249999999999945</v>
      </c>
      <c r="D92" s="44">
        <f>MIN(1000*worksheet!$F$36/B92,1000*worksheet!$F$42*C92/worksheet!$F$52/worksheet!$F$8)</f>
        <v>4.4559440559440509</v>
      </c>
      <c r="E92" s="44">
        <f>MIN(1000*(1-worksheet!$F$36/B92),worksheet!$F$8*D92/worksheet!$F$29/worksheet!$F$11)</f>
        <v>10.003139717425421</v>
      </c>
      <c r="F92" s="44" t="str">
        <f t="shared" si="9"/>
        <v>DCM</v>
      </c>
      <c r="G92" s="44">
        <f>H92-worksheet!$F$8*D92/worksheet!$F$42/1000</f>
        <v>0</v>
      </c>
      <c r="H92" s="44">
        <f>C92/worksheet!$F$52</f>
        <v>2.2692307692307665</v>
      </c>
      <c r="I92" s="44">
        <f>0.5*worksheet!$F$62/100*worksheet!$F$29*(G92+H92)*E92*B92/1000*worksheet!$F$11</f>
        <v>72.101408980159945</v>
      </c>
      <c r="J92" s="46">
        <f t="shared" si="10"/>
        <v>68.235294117647058</v>
      </c>
      <c r="L92" s="44">
        <v>2.88</v>
      </c>
      <c r="M92" s="44" t="str">
        <f>IF(worksheet!$F$10="Rapid charger",50+(worksheet!$F$16-50)*(worksheet!J$11-3)/(worksheet!$F$14-3)," ")</f>
        <v xml:space="preserve"> </v>
      </c>
      <c r="N92" s="60">
        <f t="shared" si="8"/>
        <v>0.42299999999999943</v>
      </c>
      <c r="O92" s="44" t="e">
        <f>MIN(1000*worksheet!$F$37/M92,1000*worksheet!$F$42*N92/worksheet!$F$52/worksheet!$F$8)</f>
        <v>#VALUE!</v>
      </c>
      <c r="P92" s="44" t="e">
        <f>MIN(1000*(1-worksheet!$F$37/M92),worksheet!$F$8*O92/worksheet!$F$29/worksheet!$J$11)</f>
        <v>#VALUE!</v>
      </c>
      <c r="Q92" s="44" t="e">
        <f t="shared" si="11"/>
        <v>#VALUE!</v>
      </c>
      <c r="R92" s="44" t="e">
        <f>S92-worksheet!$F$8*O92/worksheet!$F$42/1000</f>
        <v>#VALUE!</v>
      </c>
      <c r="S92" s="44">
        <f>N92/worksheet!$F$52</f>
        <v>2.1692307692307664</v>
      </c>
      <c r="T92" s="44" t="e">
        <f>0.5*worksheet!$F$62/100*worksheet!$F$29*(R92+S92)*P92*M92/1000*worksheet!$J$11</f>
        <v>#VALUE!</v>
      </c>
    </row>
    <row r="93" spans="1:20">
      <c r="A93" s="44">
        <v>2.9</v>
      </c>
      <c r="B93" s="44">
        <f>IF(worksheet!$F$10="Rapid charger",IF(worksheet!$F$11&gt;20,50+(worksheet!$F$16-50)*(worksheet!$F$11-3)/(worksheet!$F$11-3),50+(worksheet!$F$16-50)*(worksheet!$F$11-3)/(worksheet!$F$14-3)),IF(worksheet!$F$18&gt;20,50+(worksheet!$F$16-50)*(worksheet!$F$18-3)/(worksheet!$F$18-3),50+(worksheet!$F$16-50)*(worksheet!$F$18-3)/(worksheet!$F$14-3)))</f>
        <v>68.235294117647058</v>
      </c>
      <c r="C93" s="60">
        <f t="shared" si="7"/>
        <v>0.4466666666666661</v>
      </c>
      <c r="D93" s="44">
        <f>MIN(1000*worksheet!$F$36/B93,1000*worksheet!$F$42*C93/worksheet!$F$52/worksheet!$F$8)</f>
        <v>4.4979020979020916</v>
      </c>
      <c r="E93" s="44">
        <f>MIN(1000*(1-worksheet!$F$36/B93),worksheet!$F$8*D93/worksheet!$F$29/worksheet!$F$11)</f>
        <v>10.097331240188369</v>
      </c>
      <c r="F93" s="44" t="str">
        <f t="shared" si="9"/>
        <v>DCM</v>
      </c>
      <c r="G93" s="44">
        <f>H93-worksheet!$F$8*D93/worksheet!$F$42/1000</f>
        <v>0</v>
      </c>
      <c r="H93" s="44">
        <f>C93/worksheet!$F$52</f>
        <v>2.2905982905982878</v>
      </c>
      <c r="I93" s="44">
        <f>0.5*worksheet!$F$62/100*worksheet!$F$29*(G93+H93)*E93*B93/1000*worksheet!$F$11</f>
        <v>73.465643810186606</v>
      </c>
      <c r="J93" s="46">
        <f t="shared" si="10"/>
        <v>68.235294117647058</v>
      </c>
      <c r="L93" s="44">
        <v>2.9</v>
      </c>
      <c r="M93" s="44" t="str">
        <f>IF(worksheet!$F$10="Rapid charger",50+(worksheet!$F$16-50)*(worksheet!J$11-3)/(worksheet!$F$14-3)," ")</f>
        <v xml:space="preserve"> </v>
      </c>
      <c r="N93" s="60">
        <f t="shared" si="8"/>
        <v>0.42666666666666608</v>
      </c>
      <c r="O93" s="44" t="e">
        <f>MIN(1000*worksheet!$F$37/M93,1000*worksheet!$F$42*N93/worksheet!$F$52/worksheet!$F$8)</f>
        <v>#VALUE!</v>
      </c>
      <c r="P93" s="44" t="e">
        <f>MIN(1000*(1-worksheet!$F$37/M93),worksheet!$F$8*O93/worksheet!$F$29/worksheet!$J$11)</f>
        <v>#VALUE!</v>
      </c>
      <c r="Q93" s="44" t="e">
        <f t="shared" si="11"/>
        <v>#VALUE!</v>
      </c>
      <c r="R93" s="44" t="e">
        <f>S93-worksheet!$F$8*O93/worksheet!$F$42/1000</f>
        <v>#VALUE!</v>
      </c>
      <c r="S93" s="44">
        <f>N93/worksheet!$F$52</f>
        <v>2.1880341880341851</v>
      </c>
      <c r="T93" s="44" t="e">
        <f>0.5*worksheet!$F$62/100*worksheet!$F$29*(R93+S93)*P93*M93/1000*worksheet!$J$11</f>
        <v>#VALUE!</v>
      </c>
    </row>
    <row r="94" spans="1:20">
      <c r="A94" s="44">
        <v>2.92</v>
      </c>
      <c r="B94" s="44">
        <f>IF(worksheet!$F$10="Rapid charger",IF(worksheet!$F$11&gt;20,50+(worksheet!$F$16-50)*(worksheet!$F$11-3)/(worksheet!$F$11-3),50+(worksheet!$F$16-50)*(worksheet!$F$11-3)/(worksheet!$F$14-3)),IF(worksheet!$F$18&gt;20,50+(worksheet!$F$16-50)*(worksheet!$F$18-3)/(worksheet!$F$18-3),50+(worksheet!$F$16-50)*(worksheet!$F$18-3)/(worksheet!$F$14-3)))</f>
        <v>68.235294117647058</v>
      </c>
      <c r="C94" s="60">
        <f t="shared" si="7"/>
        <v>0.45083333333333275</v>
      </c>
      <c r="D94" s="44">
        <f>MIN(1000*worksheet!$F$36/B94,1000*worksheet!$F$42*C94/worksheet!$F$52/worksheet!$F$8)</f>
        <v>4.5163738885274336</v>
      </c>
      <c r="E94" s="44">
        <f>MIN(1000*(1-worksheet!$F$36/B94),worksheet!$F$8*D94/worksheet!$F$29/worksheet!$F$11)</f>
        <v>10.138798525265667</v>
      </c>
      <c r="F94" s="44" t="str">
        <f t="shared" si="9"/>
        <v>CCM</v>
      </c>
      <c r="G94" s="44">
        <f>H94-worksheet!$F$8*D94/worksheet!$F$42/1000</f>
        <v>1.1960590956467954E-2</v>
      </c>
      <c r="H94" s="44">
        <f>C94/worksheet!$F$52</f>
        <v>2.3119658119658091</v>
      </c>
      <c r="I94" s="44">
        <f>0.5*worksheet!$F$62/100*worksheet!$F$29*(G94+H94)*E94*B94/1000*worksheet!$F$11</f>
        <v>74.840661296625896</v>
      </c>
      <c r="J94" s="46">
        <f t="shared" si="10"/>
        <v>68.235294117647058</v>
      </c>
      <c r="L94" s="44">
        <v>2.92</v>
      </c>
      <c r="M94" s="44" t="str">
        <f>IF(worksheet!$F$10="Rapid charger",50+(worksheet!$F$16-50)*(worksheet!J$11-3)/(worksheet!$F$14-3)," ")</f>
        <v xml:space="preserve"> </v>
      </c>
      <c r="N94" s="60">
        <f t="shared" si="8"/>
        <v>0.43033333333333273</v>
      </c>
      <c r="O94" s="44" t="e">
        <f>MIN(1000*worksheet!$F$37/M94,1000*worksheet!$F$42*N94/worksheet!$F$52/worksheet!$F$8)</f>
        <v>#VALUE!</v>
      </c>
      <c r="P94" s="44" t="e">
        <f>MIN(1000*(1-worksheet!$F$37/M94),worksheet!$F$8*O94/worksheet!$F$29/worksheet!$J$11)</f>
        <v>#VALUE!</v>
      </c>
      <c r="Q94" s="44" t="e">
        <f t="shared" si="11"/>
        <v>#VALUE!</v>
      </c>
      <c r="R94" s="44" t="e">
        <f>S94-worksheet!$F$8*O94/worksheet!$F$42/1000</f>
        <v>#VALUE!</v>
      </c>
      <c r="S94" s="44">
        <f>N94/worksheet!$F$52</f>
        <v>2.2068376068376039</v>
      </c>
      <c r="T94" s="44" t="e">
        <f>0.5*worksheet!$F$62/100*worksheet!$F$29*(R94+S94)*P94*M94/1000*worksheet!$J$11</f>
        <v>#VALUE!</v>
      </c>
    </row>
    <row r="95" spans="1:20">
      <c r="A95" s="44">
        <v>2.94</v>
      </c>
      <c r="B95" s="44">
        <f>IF(worksheet!$F$10="Rapid charger",IF(worksheet!$F$11&gt;20,50+(worksheet!$F$16-50)*(worksheet!$F$11-3)/(worksheet!$F$11-3),50+(worksheet!$F$16-50)*(worksheet!$F$11-3)/(worksheet!$F$14-3)),IF(worksheet!$F$18&gt;20,50+(worksheet!$F$16-50)*(worksheet!$F$18-3)/(worksheet!$F$18-3),50+(worksheet!$F$16-50)*(worksheet!$F$18-3)/(worksheet!$F$14-3)))</f>
        <v>68.235294117647058</v>
      </c>
      <c r="C95" s="60">
        <f t="shared" si="7"/>
        <v>0.4549999999999994</v>
      </c>
      <c r="D95" s="44">
        <f>MIN(1000*worksheet!$F$36/B95,1000*worksheet!$F$42*C95/worksheet!$F$52/worksheet!$F$8)</f>
        <v>4.5163738885274336</v>
      </c>
      <c r="E95" s="44">
        <f>MIN(1000*(1-worksheet!$F$36/B95),worksheet!$F$8*D95/worksheet!$F$29/worksheet!$F$11)</f>
        <v>10.138798525265667</v>
      </c>
      <c r="F95" s="44" t="str">
        <f t="shared" si="9"/>
        <v>CCM</v>
      </c>
      <c r="G95" s="44">
        <f>H95-worksheet!$F$8*D95/worksheet!$F$42/1000</f>
        <v>3.3328112323989245E-2</v>
      </c>
      <c r="H95" s="44">
        <f>C95/worksheet!$F$52</f>
        <v>2.3333333333333304</v>
      </c>
      <c r="I95" s="44">
        <f>0.5*worksheet!$F$62/100*worksheet!$F$29*(G95+H95)*E95*B95/1000*worksheet!$F$11</f>
        <v>76.21691781439182</v>
      </c>
      <c r="J95" s="46">
        <f t="shared" si="10"/>
        <v>68.235294117647058</v>
      </c>
      <c r="L95" s="44">
        <v>2.94</v>
      </c>
      <c r="M95" s="44" t="str">
        <f>IF(worksheet!$F$10="Rapid charger",50+(worksheet!$F$16-50)*(worksheet!J$11-3)/(worksheet!$F$14-3)," ")</f>
        <v xml:space="preserve"> </v>
      </c>
      <c r="N95" s="60">
        <f t="shared" si="8"/>
        <v>0.43399999999999939</v>
      </c>
      <c r="O95" s="44" t="e">
        <f>MIN(1000*worksheet!$F$37/M95,1000*worksheet!$F$42*N95/worksheet!$F$52/worksheet!$F$8)</f>
        <v>#VALUE!</v>
      </c>
      <c r="P95" s="44" t="e">
        <f>MIN(1000*(1-worksheet!$F$37/M95),worksheet!$F$8*O95/worksheet!$F$29/worksheet!$J$11)</f>
        <v>#VALUE!</v>
      </c>
      <c r="Q95" s="44" t="e">
        <f t="shared" si="11"/>
        <v>#VALUE!</v>
      </c>
      <c r="R95" s="44" t="e">
        <f>S95-worksheet!$F$8*O95/worksheet!$F$42/1000</f>
        <v>#VALUE!</v>
      </c>
      <c r="S95" s="44">
        <f>N95/worksheet!$F$52</f>
        <v>2.2256410256410226</v>
      </c>
      <c r="T95" s="44" t="e">
        <f>0.5*worksheet!$F$62/100*worksheet!$F$29*(R95+S95)*P95*M95/1000*worksheet!$J$11</f>
        <v>#VALUE!</v>
      </c>
    </row>
    <row r="96" spans="1:20">
      <c r="A96" s="44">
        <v>2.96</v>
      </c>
      <c r="B96" s="44">
        <f>IF(worksheet!$F$10="Rapid charger",IF(worksheet!$F$11&gt;20,50+(worksheet!$F$16-50)*(worksheet!$F$11-3)/(worksheet!$F$11-3),50+(worksheet!$F$16-50)*(worksheet!$F$11-3)/(worksheet!$F$14-3)),IF(worksheet!$F$18&gt;20,50+(worksheet!$F$16-50)*(worksheet!$F$18-3)/(worksheet!$F$18-3),50+(worksheet!$F$16-50)*(worksheet!$F$18-3)/(worksheet!$F$14-3)))</f>
        <v>68.235294117647058</v>
      </c>
      <c r="C96" s="60">
        <f t="shared" si="7"/>
        <v>0.45916666666666606</v>
      </c>
      <c r="D96" s="44">
        <f>MIN(1000*worksheet!$F$36/B96,1000*worksheet!$F$42*C96/worksheet!$F$52/worksheet!$F$8)</f>
        <v>4.5163738885274336</v>
      </c>
      <c r="E96" s="44">
        <f>MIN(1000*(1-worksheet!$F$36/B96),worksheet!$F$8*D96/worksheet!$F$29/worksheet!$F$11)</f>
        <v>10.138798525265667</v>
      </c>
      <c r="F96" s="44" t="str">
        <f t="shared" si="9"/>
        <v>CCM</v>
      </c>
      <c r="G96" s="44">
        <f>H96-worksheet!$F$8*D96/worksheet!$F$42/1000</f>
        <v>5.4695633691510537E-2</v>
      </c>
      <c r="H96" s="44">
        <f>C96/worksheet!$F$52</f>
        <v>2.3547008547008517</v>
      </c>
      <c r="I96" s="44">
        <f>0.5*worksheet!$F$62/100*worksheet!$F$29*(G96+H96)*E96*B96/1000*worksheet!$F$11</f>
        <v>77.593174332157773</v>
      </c>
      <c r="J96" s="46">
        <f t="shared" si="10"/>
        <v>68.235294117647058</v>
      </c>
      <c r="L96" s="44">
        <v>2.96</v>
      </c>
      <c r="M96" s="44" t="str">
        <f>IF(worksheet!$F$10="Rapid charger",50+(worksheet!$F$16-50)*(worksheet!J$11-3)/(worksheet!$F$14-3)," ")</f>
        <v xml:space="preserve"> </v>
      </c>
      <c r="N96" s="60">
        <f t="shared" si="8"/>
        <v>0.43766666666666604</v>
      </c>
      <c r="O96" s="44" t="e">
        <f>MIN(1000*worksheet!$F$37/M96,1000*worksheet!$F$42*N96/worksheet!$F$52/worksheet!$F$8)</f>
        <v>#VALUE!</v>
      </c>
      <c r="P96" s="44" t="e">
        <f>MIN(1000*(1-worksheet!$F$37/M96),worksheet!$F$8*O96/worksheet!$F$29/worksheet!$J$11)</f>
        <v>#VALUE!</v>
      </c>
      <c r="Q96" s="44" t="e">
        <f t="shared" si="11"/>
        <v>#VALUE!</v>
      </c>
      <c r="R96" s="44" t="e">
        <f>S96-worksheet!$F$8*O96/worksheet!$F$42/1000</f>
        <v>#VALUE!</v>
      </c>
      <c r="S96" s="44">
        <f>N96/worksheet!$F$52</f>
        <v>2.2444444444444414</v>
      </c>
      <c r="T96" s="44" t="e">
        <f>0.5*worksheet!$F$62/100*worksheet!$F$29*(R96+S96)*P96*M96/1000*worksheet!$J$11</f>
        <v>#VALUE!</v>
      </c>
    </row>
    <row r="97" spans="1:20">
      <c r="A97" s="44">
        <v>2.98</v>
      </c>
      <c r="B97" s="44">
        <f>IF(worksheet!$F$10="Rapid charger",IF(worksheet!$F$11&gt;20,50+(worksheet!$F$16-50)*(worksheet!$F$11-3)/(worksheet!$F$11-3),50+(worksheet!$F$16-50)*(worksheet!$F$11-3)/(worksheet!$F$14-3)),IF(worksheet!$F$18&gt;20,50+(worksheet!$F$16-50)*(worksheet!$F$18-3)/(worksheet!$F$18-3),50+(worksheet!$F$16-50)*(worksheet!$F$18-3)/(worksheet!$F$14-3)))</f>
        <v>68.235294117647058</v>
      </c>
      <c r="C97" s="60">
        <f t="shared" si="7"/>
        <v>0.46333333333333271</v>
      </c>
      <c r="D97" s="44">
        <f>MIN(1000*worksheet!$F$36/B97,1000*worksheet!$F$42*C97/worksheet!$F$52/worksheet!$F$8)</f>
        <v>4.5163738885274336</v>
      </c>
      <c r="E97" s="44">
        <f>MIN(1000*(1-worksheet!$F$36/B97),worksheet!$F$8*D97/worksheet!$F$29/worksheet!$F$11)</f>
        <v>10.138798525265667</v>
      </c>
      <c r="F97" s="44" t="str">
        <f t="shared" si="9"/>
        <v>CCM</v>
      </c>
      <c r="G97" s="44">
        <f>H97-worksheet!$F$8*D97/worksheet!$F$42/1000</f>
        <v>7.6063155059031828E-2</v>
      </c>
      <c r="H97" s="44">
        <f>C97/worksheet!$F$52</f>
        <v>2.376068376068373</v>
      </c>
      <c r="I97" s="44">
        <f>0.5*worksheet!$F$62/100*worksheet!$F$29*(G97+H97)*E97*B97/1000*worksheet!$F$11</f>
        <v>78.969430849923739</v>
      </c>
      <c r="J97" s="46">
        <f t="shared" si="10"/>
        <v>68.235294117647058</v>
      </c>
      <c r="L97" s="44">
        <v>2.98</v>
      </c>
      <c r="M97" s="44" t="str">
        <f>IF(worksheet!$F$10="Rapid charger",50+(worksheet!$F$16-50)*(worksheet!J$11-3)/(worksheet!$F$14-3)," ")</f>
        <v xml:space="preserve"> </v>
      </c>
      <c r="N97" s="60">
        <f t="shared" si="8"/>
        <v>0.44133333333333269</v>
      </c>
      <c r="O97" s="44" t="e">
        <f>MIN(1000*worksheet!$F$37/M97,1000*worksheet!$F$42*N97/worksheet!$F$52/worksheet!$F$8)</f>
        <v>#VALUE!</v>
      </c>
      <c r="P97" s="44" t="e">
        <f>MIN(1000*(1-worksheet!$F$37/M97),worksheet!$F$8*O97/worksheet!$F$29/worksheet!$J$11)</f>
        <v>#VALUE!</v>
      </c>
      <c r="Q97" s="44" t="e">
        <f t="shared" si="11"/>
        <v>#VALUE!</v>
      </c>
      <c r="R97" s="44" t="e">
        <f>S97-worksheet!$F$8*O97/worksheet!$F$42/1000</f>
        <v>#VALUE!</v>
      </c>
      <c r="S97" s="44">
        <f>N97/worksheet!$F$52</f>
        <v>2.2632478632478596</v>
      </c>
      <c r="T97" s="44" t="e">
        <f>0.5*worksheet!$F$62/100*worksheet!$F$29*(R97+S97)*P97*M97/1000*worksheet!$J$11</f>
        <v>#VALUE!</v>
      </c>
    </row>
    <row r="98" spans="1:20">
      <c r="A98" s="44">
        <v>3</v>
      </c>
      <c r="B98" s="44">
        <f>IF(worksheet!$F$10="Rapid charger",IF(worksheet!$F$11&gt;20,50+(worksheet!$F$16-50)*(worksheet!$F$11-3)/(worksheet!$F$11-3),50+(worksheet!$F$16-50)*(worksheet!$F$11-3)/(worksheet!$F$14-3)),IF(worksheet!$F$18&gt;20,50+(worksheet!$F$16-50)*(worksheet!$F$18-3)/(worksheet!$F$18-3),50+(worksheet!$F$16-50)*(worksheet!$F$18-3)/(worksheet!$F$14-3)))</f>
        <v>68.235294117647058</v>
      </c>
      <c r="C98" s="60">
        <f t="shared" si="7"/>
        <v>0.46749999999999936</v>
      </c>
      <c r="D98" s="44">
        <f>MIN(1000*worksheet!$F$36/B98,1000*worksheet!$F$42*C98/worksheet!$F$52/worksheet!$F$8)</f>
        <v>4.5163738885274336</v>
      </c>
      <c r="E98" s="44">
        <f>MIN(1000*(1-worksheet!$F$36/B98),worksheet!$F$8*D98/worksheet!$F$29/worksheet!$F$11)</f>
        <v>10.138798525265667</v>
      </c>
      <c r="F98" s="44" t="str">
        <f t="shared" si="9"/>
        <v>CCM</v>
      </c>
      <c r="G98" s="44">
        <f>H98-worksheet!$F$8*D98/worksheet!$F$42/1000</f>
        <v>9.743067642655312E-2</v>
      </c>
      <c r="H98" s="44">
        <f>C98/worksheet!$F$52</f>
        <v>2.3974358974358942</v>
      </c>
      <c r="I98" s="44">
        <f>0.5*worksheet!$F$62/100*worksheet!$F$29*(G98+H98)*E98*B98/1000*worksheet!$F$11</f>
        <v>80.345687367689678</v>
      </c>
      <c r="J98" s="46">
        <f t="shared" si="10"/>
        <v>68.235294117647058</v>
      </c>
      <c r="L98" s="44">
        <v>3</v>
      </c>
      <c r="M98" s="44" t="str">
        <f>IF(worksheet!$F$10="Rapid charger",50+(worksheet!$F$16-50)*(worksheet!J$11-3)/(worksheet!$F$14-3)," ")</f>
        <v xml:space="preserve"> </v>
      </c>
      <c r="N98" s="60">
        <f t="shared" si="8"/>
        <v>0.44499999999999934</v>
      </c>
      <c r="O98" s="44" t="e">
        <f>MIN(1000*worksheet!$F$37/M98,1000*worksheet!$F$42*N98/worksheet!$F$52/worksheet!$F$8)</f>
        <v>#VALUE!</v>
      </c>
      <c r="P98" s="44" t="e">
        <f>MIN(1000*(1-worksheet!$F$37/M98),worksheet!$F$8*O98/worksheet!$F$29/worksheet!$J$11)</f>
        <v>#VALUE!</v>
      </c>
      <c r="Q98" s="44" t="e">
        <f t="shared" si="11"/>
        <v>#VALUE!</v>
      </c>
      <c r="R98" s="44" t="e">
        <f>S98-worksheet!$F$8*O98/worksheet!$F$42/1000</f>
        <v>#VALUE!</v>
      </c>
      <c r="S98" s="44">
        <f>N98/worksheet!$F$52</f>
        <v>2.2820512820512784</v>
      </c>
      <c r="T98" s="44" t="e">
        <f>0.5*worksheet!$F$62/100*worksheet!$F$29*(R98+S98)*P98*M98/1000*worksheet!$J$11</f>
        <v>#VALUE!</v>
      </c>
    </row>
    <row r="99" spans="1:20">
      <c r="A99" s="44">
        <v>3.02</v>
      </c>
      <c r="B99" s="44">
        <f>IF(worksheet!$F$10="Rapid charger",IF(worksheet!$F$11&gt;20,50+(worksheet!$F$16-50)*(worksheet!$F$11-3)/(worksheet!$F$11-3),50+(worksheet!$F$16-50)*(worksheet!$F$11-3)/(worksheet!$F$14-3)),IF(worksheet!$F$18&gt;20,50+(worksheet!$F$16-50)*(worksheet!$F$18-3)/(worksheet!$F$18-3),50+(worksheet!$F$16-50)*(worksheet!$F$18-3)/(worksheet!$F$14-3)))</f>
        <v>68.235294117647058</v>
      </c>
      <c r="C99" s="60">
        <f t="shared" si="7"/>
        <v>0.47166666666666601</v>
      </c>
      <c r="D99" s="44">
        <f>MIN(1000*worksheet!$F$36/B99,1000*worksheet!$F$42*C99/worksheet!$F$52/worksheet!$F$8)</f>
        <v>4.5163738885274336</v>
      </c>
      <c r="E99" s="44">
        <f>MIN(1000*(1-worksheet!$F$36/B99),worksheet!$F$8*D99/worksheet!$F$29/worksheet!$F$11)</f>
        <v>10.138798525265667</v>
      </c>
      <c r="F99" s="44" t="str">
        <f t="shared" si="9"/>
        <v>CCM</v>
      </c>
      <c r="G99" s="44">
        <f>H99-worksheet!$F$8*D99/worksheet!$F$42/1000</f>
        <v>0.11879819779407441</v>
      </c>
      <c r="H99" s="44">
        <f>C99/worksheet!$F$52</f>
        <v>2.4188034188034155</v>
      </c>
      <c r="I99" s="44">
        <f>0.5*worksheet!$F$62/100*worksheet!$F$29*(G99+H99)*E99*B99/1000*worksheet!$F$11</f>
        <v>81.72194388545563</v>
      </c>
      <c r="J99" s="46">
        <f t="shared" si="10"/>
        <v>68.235294117647058</v>
      </c>
      <c r="L99" s="44">
        <v>3.02</v>
      </c>
      <c r="M99" s="44" t="str">
        <f>IF(worksheet!$F$10="Rapid charger",50+(worksheet!$F$16-50)*(worksheet!J$11-3)/(worksheet!$F$14-3)," ")</f>
        <v xml:space="preserve"> </v>
      </c>
      <c r="N99" s="60">
        <f t="shared" si="8"/>
        <v>0.44866666666666599</v>
      </c>
      <c r="O99" s="44" t="e">
        <f>MIN(1000*worksheet!$F$37/M99,1000*worksheet!$F$42*N99/worksheet!$F$52/worksheet!$F$8)</f>
        <v>#VALUE!</v>
      </c>
      <c r="P99" s="44" t="e">
        <f>MIN(1000*(1-worksheet!$F$37/M99),worksheet!$F$8*O99/worksheet!$F$29/worksheet!$J$11)</f>
        <v>#VALUE!</v>
      </c>
      <c r="Q99" s="44" t="e">
        <f t="shared" si="11"/>
        <v>#VALUE!</v>
      </c>
      <c r="R99" s="44" t="e">
        <f>S99-worksheet!$F$8*O99/worksheet!$F$42/1000</f>
        <v>#VALUE!</v>
      </c>
      <c r="S99" s="44">
        <f>N99/worksheet!$F$52</f>
        <v>2.3008547008546971</v>
      </c>
      <c r="T99" s="44" t="e">
        <f>0.5*worksheet!$F$62/100*worksheet!$F$29*(R99+S99)*P99*M99/1000*worksheet!$J$11</f>
        <v>#VALUE!</v>
      </c>
    </row>
    <row r="100" spans="1:20">
      <c r="A100" s="44">
        <v>3.04</v>
      </c>
      <c r="B100" s="44">
        <f>IF(worksheet!$F$10="Rapid charger",IF(worksheet!$F$11&gt;20,50+(worksheet!$F$16-50)*(worksheet!$F$11-3)/(worksheet!$F$11-3),50+(worksheet!$F$16-50)*(worksheet!$F$11-3)/(worksheet!$F$14-3)),IF(worksheet!$F$18&gt;20,50+(worksheet!$F$16-50)*(worksheet!$F$18-3)/(worksheet!$F$18-3),50+(worksheet!$F$16-50)*(worksheet!$F$18-3)/(worksheet!$F$14-3)))</f>
        <v>68.235294117647058</v>
      </c>
      <c r="C100" s="60">
        <f t="shared" si="7"/>
        <v>0.47583333333333266</v>
      </c>
      <c r="D100" s="44">
        <f>MIN(1000*worksheet!$F$36/B100,1000*worksheet!$F$42*C100/worksheet!$F$52/worksheet!$F$8)</f>
        <v>4.5163738885274336</v>
      </c>
      <c r="E100" s="44">
        <f>MIN(1000*(1-worksheet!$F$36/B100),worksheet!$F$8*D100/worksheet!$F$29/worksheet!$F$11)</f>
        <v>10.138798525265667</v>
      </c>
      <c r="F100" s="44" t="str">
        <f t="shared" si="9"/>
        <v>CCM</v>
      </c>
      <c r="G100" s="44">
        <f>H100-worksheet!$F$8*D100/worksheet!$F$42/1000</f>
        <v>0.1401657191615957</v>
      </c>
      <c r="H100" s="44">
        <f>C100/worksheet!$F$52</f>
        <v>2.4401709401709368</v>
      </c>
      <c r="I100" s="44">
        <f>0.5*worksheet!$F$62/100*worksheet!$F$29*(G100+H100)*E100*B100/1000*worksheet!$F$11</f>
        <v>83.098200403221568</v>
      </c>
      <c r="J100" s="46">
        <f t="shared" si="10"/>
        <v>68.235294117647058</v>
      </c>
      <c r="L100" s="44">
        <v>3.04</v>
      </c>
      <c r="M100" s="44" t="str">
        <f>IF(worksheet!$F$10="Rapid charger",50+(worksheet!$F$16-50)*(worksheet!J$11-3)/(worksheet!$F$14-3)," ")</f>
        <v xml:space="preserve"> </v>
      </c>
      <c r="N100" s="60">
        <f t="shared" si="8"/>
        <v>0.45233333333333264</v>
      </c>
      <c r="O100" s="44" t="e">
        <f>MIN(1000*worksheet!$F$37/M100,1000*worksheet!$F$42*N100/worksheet!$F$52/worksheet!$F$8)</f>
        <v>#VALUE!</v>
      </c>
      <c r="P100" s="44" t="e">
        <f>MIN(1000*(1-worksheet!$F$37/M100),worksheet!$F$8*O100/worksheet!$F$29/worksheet!$J$11)</f>
        <v>#VALUE!</v>
      </c>
      <c r="Q100" s="44" t="e">
        <f t="shared" si="11"/>
        <v>#VALUE!</v>
      </c>
      <c r="R100" s="44" t="e">
        <f>S100-worksheet!$F$8*O100/worksheet!$F$42/1000</f>
        <v>#VALUE!</v>
      </c>
      <c r="S100" s="44">
        <f>N100/worksheet!$F$52</f>
        <v>2.3196581196581159</v>
      </c>
      <c r="T100" s="44" t="e">
        <f>0.5*worksheet!$F$62/100*worksheet!$F$29*(R100+S100)*P100*M100/1000*worksheet!$J$11</f>
        <v>#VALUE!</v>
      </c>
    </row>
    <row r="101" spans="1:20">
      <c r="A101" s="44">
        <v>3.06</v>
      </c>
      <c r="B101" s="44">
        <f>IF(worksheet!$F$10="Rapid charger",IF(worksheet!$F$11&gt;20,50+(worksheet!$F$16-50)*(worksheet!$F$11-3)/(worksheet!$F$11-3),50+(worksheet!$F$16-50)*(worksheet!$F$11-3)/(worksheet!$F$14-3)),IF(worksheet!$F$18&gt;20,50+(worksheet!$F$16-50)*(worksheet!$F$18-3)/(worksheet!$F$18-3),50+(worksheet!$F$16-50)*(worksheet!$F$18-3)/(worksheet!$F$14-3)))</f>
        <v>68.235294117647058</v>
      </c>
      <c r="C101" s="60">
        <f t="shared" si="7"/>
        <v>0.47999999999999932</v>
      </c>
      <c r="D101" s="44">
        <f>MIN(1000*worksheet!$F$36/B101,1000*worksheet!$F$42*C101/worksheet!$F$52/worksheet!$F$8)</f>
        <v>4.5163738885274336</v>
      </c>
      <c r="E101" s="44">
        <f>MIN(1000*(1-worksheet!$F$36/B101),worksheet!$F$8*D101/worksheet!$F$29/worksheet!$F$11)</f>
        <v>10.138798525265667</v>
      </c>
      <c r="F101" s="44" t="str">
        <f t="shared" si="9"/>
        <v>CCM</v>
      </c>
      <c r="G101" s="44">
        <f>H101-worksheet!$F$8*D101/worksheet!$F$42/1000</f>
        <v>0.16153324052911699</v>
      </c>
      <c r="H101" s="44">
        <f>C101/worksheet!$F$52</f>
        <v>2.4615384615384581</v>
      </c>
      <c r="I101" s="44">
        <f>0.5*worksheet!$F$62/100*worksheet!$F$29*(G101+H101)*E101*B101/1000*worksheet!$F$11</f>
        <v>84.474456920987521</v>
      </c>
      <c r="J101" s="46">
        <f t="shared" si="10"/>
        <v>68.235294117647058</v>
      </c>
      <c r="L101" s="44">
        <v>3.06</v>
      </c>
      <c r="M101" s="44" t="str">
        <f>IF(worksheet!$F$10="Rapid charger",50+(worksheet!$F$16-50)*(worksheet!J$11-3)/(worksheet!$F$14-3)," ")</f>
        <v xml:space="preserve"> </v>
      </c>
      <c r="N101" s="60">
        <f t="shared" si="8"/>
        <v>0.45599999999999929</v>
      </c>
      <c r="O101" s="44" t="e">
        <f>MIN(1000*worksheet!$F$37/M101,1000*worksheet!$F$42*N101/worksheet!$F$52/worksheet!$F$8)</f>
        <v>#VALUE!</v>
      </c>
      <c r="P101" s="44" t="e">
        <f>MIN(1000*(1-worksheet!$F$37/M101),worksheet!$F$8*O101/worksheet!$F$29/worksheet!$J$11)</f>
        <v>#VALUE!</v>
      </c>
      <c r="Q101" s="44" t="e">
        <f t="shared" si="11"/>
        <v>#VALUE!</v>
      </c>
      <c r="R101" s="44" t="e">
        <f>S101-worksheet!$F$8*O101/worksheet!$F$42/1000</f>
        <v>#VALUE!</v>
      </c>
      <c r="S101" s="44">
        <f>N101/worksheet!$F$52</f>
        <v>2.3384615384615346</v>
      </c>
      <c r="T101" s="44" t="e">
        <f>0.5*worksheet!$F$62/100*worksheet!$F$29*(R101+S101)*P101*M101/1000*worksheet!$J$11</f>
        <v>#VALUE!</v>
      </c>
    </row>
    <row r="102" spans="1:20">
      <c r="A102" s="44">
        <v>3.08</v>
      </c>
      <c r="B102" s="44">
        <f>IF(worksheet!$F$10="Rapid charger",IF(worksheet!$F$11&gt;20,50+(worksheet!$F$16-50)*(worksheet!$F$11-3)/(worksheet!$F$11-3),50+(worksheet!$F$16-50)*(worksheet!$F$11-3)/(worksheet!$F$14-3)),IF(worksheet!$F$18&gt;20,50+(worksheet!$F$16-50)*(worksheet!$F$18-3)/(worksheet!$F$18-3),50+(worksheet!$F$16-50)*(worksheet!$F$18-3)/(worksheet!$F$14-3)))</f>
        <v>68.235294117647058</v>
      </c>
      <c r="C102" s="60">
        <f t="shared" si="7"/>
        <v>0.48416666666666597</v>
      </c>
      <c r="D102" s="44">
        <f>MIN(1000*worksheet!$F$36/B102,1000*worksheet!$F$42*C102/worksheet!$F$52/worksheet!$F$8)</f>
        <v>4.5163738885274336</v>
      </c>
      <c r="E102" s="44">
        <f>MIN(1000*(1-worksheet!$F$36/B102),worksheet!$F$8*D102/worksheet!$F$29/worksheet!$F$11)</f>
        <v>10.138798525265667</v>
      </c>
      <c r="F102" s="44" t="str">
        <f t="shared" si="9"/>
        <v>CCM</v>
      </c>
      <c r="G102" s="44">
        <f>H102-worksheet!$F$8*D102/worksheet!$F$42/1000</f>
        <v>0.18290076189663829</v>
      </c>
      <c r="H102" s="44">
        <f>C102/worksheet!$F$52</f>
        <v>2.4829059829059794</v>
      </c>
      <c r="I102" s="44">
        <f>0.5*worksheet!$F$62/100*worksheet!$F$29*(G102+H102)*E102*B102/1000*worksheet!$F$11</f>
        <v>85.850713438753459</v>
      </c>
      <c r="J102" s="46">
        <f t="shared" si="10"/>
        <v>68.235294117647058</v>
      </c>
      <c r="L102" s="44">
        <v>3.08</v>
      </c>
      <c r="M102" s="44" t="str">
        <f>IF(worksheet!$F$10="Rapid charger",50+(worksheet!$F$16-50)*(worksheet!J$11-3)/(worksheet!$F$14-3)," ")</f>
        <v xml:space="preserve"> </v>
      </c>
      <c r="N102" s="60">
        <f t="shared" si="8"/>
        <v>0.45966666666666595</v>
      </c>
      <c r="O102" s="44" t="e">
        <f>MIN(1000*worksheet!$F$37/M102,1000*worksheet!$F$42*N102/worksheet!$F$52/worksheet!$F$8)</f>
        <v>#VALUE!</v>
      </c>
      <c r="P102" s="44" t="e">
        <f>MIN(1000*(1-worksheet!$F$37/M102),worksheet!$F$8*O102/worksheet!$F$29/worksheet!$J$11)</f>
        <v>#VALUE!</v>
      </c>
      <c r="Q102" s="44" t="e">
        <f t="shared" si="11"/>
        <v>#VALUE!</v>
      </c>
      <c r="R102" s="44" t="e">
        <f>S102-worksheet!$F$8*O102/worksheet!$F$42/1000</f>
        <v>#VALUE!</v>
      </c>
      <c r="S102" s="44">
        <f>N102/worksheet!$F$52</f>
        <v>2.3572649572649533</v>
      </c>
      <c r="T102" s="44" t="e">
        <f>0.5*worksheet!$F$62/100*worksheet!$F$29*(R102+S102)*P102*M102/1000*worksheet!$J$11</f>
        <v>#VALUE!</v>
      </c>
    </row>
    <row r="103" spans="1:20">
      <c r="A103" s="44">
        <v>3.1</v>
      </c>
      <c r="B103" s="44">
        <f>IF(worksheet!$F$10="Rapid charger",IF(worksheet!$F$11&gt;20,50+(worksheet!$F$16-50)*(worksheet!$F$11-3)/(worksheet!$F$11-3),50+(worksheet!$F$16-50)*(worksheet!$F$11-3)/(worksheet!$F$14-3)),IF(worksheet!$F$18&gt;20,50+(worksheet!$F$16-50)*(worksheet!$F$18-3)/(worksheet!$F$18-3),50+(worksheet!$F$16-50)*(worksheet!$F$18-3)/(worksheet!$F$14-3)))</f>
        <v>68.235294117647058</v>
      </c>
      <c r="C103" s="60">
        <f t="shared" si="7"/>
        <v>0.48833333333333262</v>
      </c>
      <c r="D103" s="44">
        <f>MIN(1000*worksheet!$F$36/B103,1000*worksheet!$F$42*C103/worksheet!$F$52/worksheet!$F$8)</f>
        <v>4.5163738885274336</v>
      </c>
      <c r="E103" s="44">
        <f>MIN(1000*(1-worksheet!$F$36/B103),worksheet!$F$8*D103/worksheet!$F$29/worksheet!$F$11)</f>
        <v>10.138798525265667</v>
      </c>
      <c r="F103" s="44" t="str">
        <f t="shared" si="9"/>
        <v>CCM</v>
      </c>
      <c r="G103" s="44">
        <f>H103-worksheet!$F$8*D103/worksheet!$F$42/1000</f>
        <v>0.20426828326415958</v>
      </c>
      <c r="H103" s="44">
        <f>C103/worksheet!$F$52</f>
        <v>2.5042735042735007</v>
      </c>
      <c r="I103" s="44">
        <f>0.5*worksheet!$F$62/100*worksheet!$F$29*(G103+H103)*E103*B103/1000*worksheet!$F$11</f>
        <v>87.226969956519412</v>
      </c>
      <c r="J103" s="46">
        <f t="shared" si="10"/>
        <v>68.235294117647058</v>
      </c>
      <c r="L103" s="44">
        <v>3.1</v>
      </c>
      <c r="M103" s="44" t="str">
        <f>IF(worksheet!$F$10="Rapid charger",50+(worksheet!$F$16-50)*(worksheet!J$11-3)/(worksheet!$F$14-3)," ")</f>
        <v xml:space="preserve"> </v>
      </c>
      <c r="N103" s="60">
        <f t="shared" si="8"/>
        <v>0.4633333333333326</v>
      </c>
      <c r="O103" s="44" t="e">
        <f>MIN(1000*worksheet!$F$37/M103,1000*worksheet!$F$42*N103/worksheet!$F$52/worksheet!$F$8)</f>
        <v>#VALUE!</v>
      </c>
      <c r="P103" s="44" t="e">
        <f>MIN(1000*(1-worksheet!$F$37/M103),worksheet!$F$8*O103/worksheet!$F$29/worksheet!$J$11)</f>
        <v>#VALUE!</v>
      </c>
      <c r="Q103" s="44" t="e">
        <f t="shared" si="11"/>
        <v>#VALUE!</v>
      </c>
      <c r="R103" s="44" t="e">
        <f>S103-worksheet!$F$8*O103/worksheet!$F$42/1000</f>
        <v>#VALUE!</v>
      </c>
      <c r="S103" s="44">
        <f>N103/worksheet!$F$52</f>
        <v>2.3760683760683721</v>
      </c>
      <c r="T103" s="44" t="e">
        <f>0.5*worksheet!$F$62/100*worksheet!$F$29*(R103+S103)*P103*M103/1000*worksheet!$J$11</f>
        <v>#VALUE!</v>
      </c>
    </row>
    <row r="104" spans="1:20">
      <c r="A104" s="44">
        <v>3.12</v>
      </c>
      <c r="B104" s="44">
        <f>IF(worksheet!$F$10="Rapid charger",IF(worksheet!$F$11&gt;20,50+(worksheet!$F$16-50)*(worksheet!$F$11-3)/(worksheet!$F$11-3),50+(worksheet!$F$16-50)*(worksheet!$F$11-3)/(worksheet!$F$14-3)),IF(worksheet!$F$18&gt;20,50+(worksheet!$F$16-50)*(worksheet!$F$18-3)/(worksheet!$F$18-3),50+(worksheet!$F$16-50)*(worksheet!$F$18-3)/(worksheet!$F$14-3)))</f>
        <v>68.235294117647058</v>
      </c>
      <c r="C104" s="60">
        <f t="shared" si="7"/>
        <v>0.49249999999999927</v>
      </c>
      <c r="D104" s="44">
        <f>MIN(1000*worksheet!$F$36/B104,1000*worksheet!$F$42*C104/worksheet!$F$52/worksheet!$F$8)</f>
        <v>4.5163738885274336</v>
      </c>
      <c r="E104" s="44">
        <f>MIN(1000*(1-worksheet!$F$36/B104),worksheet!$F$8*D104/worksheet!$F$29/worksheet!$F$11)</f>
        <v>10.138798525265667</v>
      </c>
      <c r="F104" s="44" t="str">
        <f t="shared" si="9"/>
        <v>CCM</v>
      </c>
      <c r="G104" s="44">
        <f>H104-worksheet!$F$8*D104/worksheet!$F$42/1000</f>
        <v>0.22563580463168087</v>
      </c>
      <c r="H104" s="44">
        <f>C104/worksheet!$F$52</f>
        <v>2.525641025641022</v>
      </c>
      <c r="I104" s="44">
        <f>0.5*worksheet!$F$62/100*worksheet!$F$29*(G104+H104)*E104*B104/1000*worksheet!$F$11</f>
        <v>88.60322647428535</v>
      </c>
      <c r="J104" s="46">
        <f t="shared" si="10"/>
        <v>68.235294117647058</v>
      </c>
      <c r="L104" s="44">
        <v>3.12</v>
      </c>
      <c r="M104" s="44" t="str">
        <f>IF(worksheet!$F$10="Rapid charger",50+(worksheet!$F$16-50)*(worksheet!J$11-3)/(worksheet!$F$14-3)," ")</f>
        <v xml:space="preserve"> </v>
      </c>
      <c r="N104" s="60">
        <f t="shared" si="8"/>
        <v>0.46699999999999925</v>
      </c>
      <c r="O104" s="44" t="e">
        <f>MIN(1000*worksheet!$F$37/M104,1000*worksheet!$F$42*N104/worksheet!$F$52/worksheet!$F$8)</f>
        <v>#VALUE!</v>
      </c>
      <c r="P104" s="44" t="e">
        <f>MIN(1000*(1-worksheet!$F$37/M104),worksheet!$F$8*O104/worksheet!$F$29/worksheet!$J$11)</f>
        <v>#VALUE!</v>
      </c>
      <c r="Q104" s="44" t="e">
        <f t="shared" si="11"/>
        <v>#VALUE!</v>
      </c>
      <c r="R104" s="44" t="e">
        <f>S104-worksheet!$F$8*O104/worksheet!$F$42/1000</f>
        <v>#VALUE!</v>
      </c>
      <c r="S104" s="44">
        <f>N104/worksheet!$F$52</f>
        <v>2.3948717948717908</v>
      </c>
      <c r="T104" s="44" t="e">
        <f>0.5*worksheet!$F$62/100*worksheet!$F$29*(R104+S104)*P104*M104/1000*worksheet!$J$11</f>
        <v>#VALUE!</v>
      </c>
    </row>
    <row r="105" spans="1:20">
      <c r="A105" s="44">
        <v>3.14</v>
      </c>
      <c r="B105" s="44">
        <f>IF(worksheet!$F$10="Rapid charger",IF(worksheet!$F$11&gt;20,50+(worksheet!$F$16-50)*(worksheet!$F$11-3)/(worksheet!$F$11-3),50+(worksheet!$F$16-50)*(worksheet!$F$11-3)/(worksheet!$F$14-3)),IF(worksheet!$F$18&gt;20,50+(worksheet!$F$16-50)*(worksheet!$F$18-3)/(worksheet!$F$18-3),50+(worksheet!$F$16-50)*(worksheet!$F$18-3)/(worksheet!$F$14-3)))</f>
        <v>68.235294117647058</v>
      </c>
      <c r="C105" s="60">
        <f t="shared" si="7"/>
        <v>0.49666666666666592</v>
      </c>
      <c r="D105" s="44">
        <f>MIN(1000*worksheet!$F$36/B105,1000*worksheet!$F$42*C105/worksheet!$F$52/worksheet!$F$8)</f>
        <v>4.5163738885274336</v>
      </c>
      <c r="E105" s="44">
        <f>MIN(1000*(1-worksheet!$F$36/B105),worksheet!$F$8*D105/worksheet!$F$29/worksheet!$F$11)</f>
        <v>10.138798525265667</v>
      </c>
      <c r="F105" s="44" t="str">
        <f t="shared" si="9"/>
        <v>CCM</v>
      </c>
      <c r="G105" s="44">
        <f>H105-worksheet!$F$8*D105/worksheet!$F$42/1000</f>
        <v>0.24700332599920216</v>
      </c>
      <c r="H105" s="44">
        <f>C105/worksheet!$F$52</f>
        <v>2.5470085470085433</v>
      </c>
      <c r="I105" s="44">
        <f>0.5*worksheet!$F$62/100*worksheet!$F$29*(G105+H105)*E105*B105/1000*worksheet!$F$11</f>
        <v>89.979482992051288</v>
      </c>
      <c r="J105" s="46">
        <f t="shared" si="10"/>
        <v>68.235294117647058</v>
      </c>
      <c r="L105" s="44">
        <v>3.14</v>
      </c>
      <c r="M105" s="44" t="str">
        <f>IF(worksheet!$F$10="Rapid charger",50+(worksheet!$F$16-50)*(worksheet!J$11-3)/(worksheet!$F$14-3)," ")</f>
        <v xml:space="preserve"> </v>
      </c>
      <c r="N105" s="60">
        <f t="shared" si="8"/>
        <v>0.4706666666666659</v>
      </c>
      <c r="O105" s="44" t="e">
        <f>MIN(1000*worksheet!$F$37/M105,1000*worksheet!$F$42*N105/worksheet!$F$52/worksheet!$F$8)</f>
        <v>#VALUE!</v>
      </c>
      <c r="P105" s="44" t="e">
        <f>MIN(1000*(1-worksheet!$F$37/M105),worksheet!$F$8*O105/worksheet!$F$29/worksheet!$J$11)</f>
        <v>#VALUE!</v>
      </c>
      <c r="Q105" s="44" t="e">
        <f t="shared" si="11"/>
        <v>#VALUE!</v>
      </c>
      <c r="R105" s="44" t="e">
        <f>S105-worksheet!$F$8*O105/worksheet!$F$42/1000</f>
        <v>#VALUE!</v>
      </c>
      <c r="S105" s="44">
        <f>N105/worksheet!$F$52</f>
        <v>2.4136752136752095</v>
      </c>
      <c r="T105" s="44" t="e">
        <f>0.5*worksheet!$F$62/100*worksheet!$F$29*(R105+S105)*P105*M105/1000*worksheet!$J$11</f>
        <v>#VALUE!</v>
      </c>
    </row>
    <row r="106" spans="1:20">
      <c r="A106" s="44">
        <v>3.16</v>
      </c>
      <c r="B106" s="44">
        <f>IF(worksheet!$F$10="Rapid charger",IF(worksheet!$F$11&gt;20,50+(worksheet!$F$16-50)*(worksheet!$F$11-3)/(worksheet!$F$11-3),50+(worksheet!$F$16-50)*(worksheet!$F$11-3)/(worksheet!$F$14-3)),IF(worksheet!$F$18&gt;20,50+(worksheet!$F$16-50)*(worksheet!$F$18-3)/(worksheet!$F$18-3),50+(worksheet!$F$16-50)*(worksheet!$F$18-3)/(worksheet!$F$14-3)))</f>
        <v>68.235294117647058</v>
      </c>
      <c r="C106" s="60">
        <f t="shared" si="7"/>
        <v>0.50083333333333258</v>
      </c>
      <c r="D106" s="44">
        <f>MIN(1000*worksheet!$F$36/B106,1000*worksheet!$F$42*C106/worksheet!$F$52/worksheet!$F$8)</f>
        <v>4.5163738885274336</v>
      </c>
      <c r="E106" s="44">
        <f>MIN(1000*(1-worksheet!$F$36/B106),worksheet!$F$8*D106/worksheet!$F$29/worksheet!$F$11)</f>
        <v>10.138798525265667</v>
      </c>
      <c r="F106" s="44" t="str">
        <f t="shared" si="9"/>
        <v>CCM</v>
      </c>
      <c r="G106" s="44">
        <f>H106-worksheet!$F$8*D106/worksheet!$F$42/1000</f>
        <v>0.26837084736672345</v>
      </c>
      <c r="H106" s="44">
        <f>C106/worksheet!$F$52</f>
        <v>2.5683760683760646</v>
      </c>
      <c r="I106" s="44">
        <f>0.5*worksheet!$F$62/100*worksheet!$F$29*(G106+H106)*E106*B106/1000*worksheet!$F$11</f>
        <v>91.355739509817241</v>
      </c>
      <c r="J106" s="46">
        <f t="shared" si="10"/>
        <v>68.235294117647058</v>
      </c>
      <c r="L106" s="44">
        <v>3.16</v>
      </c>
      <c r="M106" s="44" t="str">
        <f>IF(worksheet!$F$10="Rapid charger",50+(worksheet!$F$16-50)*(worksheet!J$11-3)/(worksheet!$F$14-3)," ")</f>
        <v xml:space="preserve"> </v>
      </c>
      <c r="N106" s="60">
        <f t="shared" si="8"/>
        <v>0.47433333333333255</v>
      </c>
      <c r="O106" s="44" t="e">
        <f>MIN(1000*worksheet!$F$37/M106,1000*worksheet!$F$42*N106/worksheet!$F$52/worksheet!$F$8)</f>
        <v>#VALUE!</v>
      </c>
      <c r="P106" s="44" t="e">
        <f>MIN(1000*(1-worksheet!$F$37/M106),worksheet!$F$8*O106/worksheet!$F$29/worksheet!$J$11)</f>
        <v>#VALUE!</v>
      </c>
      <c r="Q106" s="44" t="e">
        <f t="shared" si="11"/>
        <v>#VALUE!</v>
      </c>
      <c r="R106" s="44" t="e">
        <f>S106-worksheet!$F$8*O106/worksheet!$F$42/1000</f>
        <v>#VALUE!</v>
      </c>
      <c r="S106" s="44">
        <f>N106/worksheet!$F$52</f>
        <v>2.4324786324786283</v>
      </c>
      <c r="T106" s="44" t="e">
        <f>0.5*worksheet!$F$62/100*worksheet!$F$29*(R106+S106)*P106*M106/1000*worksheet!$J$11</f>
        <v>#VALUE!</v>
      </c>
    </row>
    <row r="107" spans="1:20">
      <c r="A107" s="44">
        <v>3.18</v>
      </c>
      <c r="B107" s="44">
        <f>IF(worksheet!$F$10="Rapid charger",IF(worksheet!$F$11&gt;20,50+(worksheet!$F$16-50)*(worksheet!$F$11-3)/(worksheet!$F$11-3),50+(worksheet!$F$16-50)*(worksheet!$F$11-3)/(worksheet!$F$14-3)),IF(worksheet!$F$18&gt;20,50+(worksheet!$F$16-50)*(worksheet!$F$18-3)/(worksheet!$F$18-3),50+(worksheet!$F$16-50)*(worksheet!$F$18-3)/(worksheet!$F$14-3)))</f>
        <v>68.235294117647058</v>
      </c>
      <c r="C107" s="60">
        <f t="shared" si="7"/>
        <v>0.50499999999999923</v>
      </c>
      <c r="D107" s="44">
        <f>MIN(1000*worksheet!$F$36/B107,1000*worksheet!$F$42*C107/worksheet!$F$52/worksheet!$F$8)</f>
        <v>4.5163738885274336</v>
      </c>
      <c r="E107" s="44">
        <f>MIN(1000*(1-worksheet!$F$36/B107),worksheet!$F$8*D107/worksheet!$F$29/worksheet!$F$11)</f>
        <v>10.138798525265667</v>
      </c>
      <c r="F107" s="44" t="str">
        <f t="shared" si="9"/>
        <v>CCM</v>
      </c>
      <c r="G107" s="44">
        <f>H107-worksheet!$F$8*D107/worksheet!$F$42/1000</f>
        <v>0.28973836873424474</v>
      </c>
      <c r="H107" s="44">
        <f>C107/worksheet!$F$52</f>
        <v>2.5897435897435859</v>
      </c>
      <c r="I107" s="44">
        <f>0.5*worksheet!$F$62/100*worksheet!$F$29*(G107+H107)*E107*B107/1000*worksheet!$F$11</f>
        <v>92.731996027583193</v>
      </c>
      <c r="J107" s="46">
        <f t="shared" si="10"/>
        <v>68.235294117647058</v>
      </c>
      <c r="L107" s="44">
        <v>3.18</v>
      </c>
      <c r="M107" s="44" t="str">
        <f>IF(worksheet!$F$10="Rapid charger",50+(worksheet!$F$16-50)*(worksheet!J$11-3)/(worksheet!$F$14-3)," ")</f>
        <v xml:space="preserve"> </v>
      </c>
      <c r="N107" s="60">
        <f t="shared" si="8"/>
        <v>0.4779999999999992</v>
      </c>
      <c r="O107" s="44" t="e">
        <f>MIN(1000*worksheet!$F$37/M107,1000*worksheet!$F$42*N107/worksheet!$F$52/worksheet!$F$8)</f>
        <v>#VALUE!</v>
      </c>
      <c r="P107" s="44" t="e">
        <f>MIN(1000*(1-worksheet!$F$37/M107),worksheet!$F$8*O107/worksheet!$F$29/worksheet!$J$11)</f>
        <v>#VALUE!</v>
      </c>
      <c r="Q107" s="44" t="e">
        <f t="shared" si="11"/>
        <v>#VALUE!</v>
      </c>
      <c r="R107" s="44" t="e">
        <f>S107-worksheet!$F$8*O107/worksheet!$F$42/1000</f>
        <v>#VALUE!</v>
      </c>
      <c r="S107" s="44">
        <f>N107/worksheet!$F$52</f>
        <v>2.451282051282047</v>
      </c>
      <c r="T107" s="44" t="e">
        <f>0.5*worksheet!$F$62/100*worksheet!$F$29*(R107+S107)*P107*M107/1000*worksheet!$J$11</f>
        <v>#VALUE!</v>
      </c>
    </row>
    <row r="108" spans="1:20">
      <c r="A108" s="44">
        <v>3.2</v>
      </c>
      <c r="B108" s="44">
        <f>IF(worksheet!$F$10="Rapid charger",IF(worksheet!$F$11&gt;20,50+(worksheet!$F$16-50)*(worksheet!$F$11-3)/(worksheet!$F$11-3),50+(worksheet!$F$16-50)*(worksheet!$F$11-3)/(worksheet!$F$14-3)),IF(worksheet!$F$18&gt;20,50+(worksheet!$F$16-50)*(worksheet!$F$18-3)/(worksheet!$F$18-3),50+(worksheet!$F$16-50)*(worksheet!$F$18-3)/(worksheet!$F$14-3)))</f>
        <v>68.235294117647058</v>
      </c>
      <c r="C108" s="60">
        <f t="shared" si="7"/>
        <v>0.50916666666666588</v>
      </c>
      <c r="D108" s="44">
        <f>MIN(1000*worksheet!$F$36/B108,1000*worksheet!$F$42*C108/worksheet!$F$52/worksheet!$F$8)</f>
        <v>4.5163738885274336</v>
      </c>
      <c r="E108" s="44">
        <f>MIN(1000*(1-worksheet!$F$36/B108),worksheet!$F$8*D108/worksheet!$F$29/worksheet!$F$11)</f>
        <v>10.138798525265667</v>
      </c>
      <c r="F108" s="44" t="str">
        <f t="shared" si="9"/>
        <v>CCM</v>
      </c>
      <c r="G108" s="44">
        <f>H108-worksheet!$F$8*D108/worksheet!$F$42/1000</f>
        <v>0.31110589010176604</v>
      </c>
      <c r="H108" s="44">
        <f>C108/worksheet!$F$52</f>
        <v>2.6111111111111072</v>
      </c>
      <c r="I108" s="44">
        <f>0.5*worksheet!$F$62/100*worksheet!$F$29*(G108+H108)*E108*B108/1000*worksheet!$F$11</f>
        <v>94.108252545349131</v>
      </c>
      <c r="J108" s="46">
        <f t="shared" si="10"/>
        <v>68.235294117647058</v>
      </c>
      <c r="L108" s="44">
        <v>3.2</v>
      </c>
      <c r="M108" s="44" t="str">
        <f>IF(worksheet!$F$10="Rapid charger",50+(worksheet!$F$16-50)*(worksheet!J$11-3)/(worksheet!$F$14-3)," ")</f>
        <v xml:space="preserve"> </v>
      </c>
      <c r="N108" s="60">
        <f t="shared" si="8"/>
        <v>0.48166666666666585</v>
      </c>
      <c r="O108" s="44" t="e">
        <f>MIN(1000*worksheet!$F$37/M108,1000*worksheet!$F$42*N108/worksheet!$F$52/worksheet!$F$8)</f>
        <v>#VALUE!</v>
      </c>
      <c r="P108" s="44" t="e">
        <f>MIN(1000*(1-worksheet!$F$37/M108),worksheet!$F$8*O108/worksheet!$F$29/worksheet!$J$11)</f>
        <v>#VALUE!</v>
      </c>
      <c r="Q108" s="44" t="e">
        <f t="shared" si="11"/>
        <v>#VALUE!</v>
      </c>
      <c r="R108" s="44" t="e">
        <f>S108-worksheet!$F$8*O108/worksheet!$F$42/1000</f>
        <v>#VALUE!</v>
      </c>
      <c r="S108" s="44">
        <f>N108/worksheet!$F$52</f>
        <v>2.4700854700854658</v>
      </c>
      <c r="T108" s="44" t="e">
        <f>0.5*worksheet!$F$62/100*worksheet!$F$29*(R108+S108)*P108*M108/1000*worksheet!$J$11</f>
        <v>#VALUE!</v>
      </c>
    </row>
    <row r="109" spans="1:20">
      <c r="A109" s="44">
        <v>3.22</v>
      </c>
      <c r="B109" s="44">
        <f>IF(worksheet!$F$10="Rapid charger",IF(worksheet!$F$11&gt;20,50+(worksheet!$F$16-50)*(worksheet!$F$11-3)/(worksheet!$F$11-3),50+(worksheet!$F$16-50)*(worksheet!$F$11-3)/(worksheet!$F$14-3)),IF(worksheet!$F$18&gt;20,50+(worksheet!$F$16-50)*(worksheet!$F$18-3)/(worksheet!$F$18-3),50+(worksheet!$F$16-50)*(worksheet!$F$18-3)/(worksheet!$F$14-3)))</f>
        <v>68.235294117647058</v>
      </c>
      <c r="C109" s="60">
        <f t="shared" si="7"/>
        <v>0.51333333333333253</v>
      </c>
      <c r="D109" s="44">
        <f>MIN(1000*worksheet!$F$36/B109,1000*worksheet!$F$42*C109/worksheet!$F$52/worksheet!$F$8)</f>
        <v>4.5163738885274336</v>
      </c>
      <c r="E109" s="44">
        <f>MIN(1000*(1-worksheet!$F$36/B109),worksheet!$F$8*D109/worksheet!$F$29/worksheet!$F$11)</f>
        <v>10.138798525265667</v>
      </c>
      <c r="F109" s="44" t="str">
        <f t="shared" si="9"/>
        <v>CCM</v>
      </c>
      <c r="G109" s="44">
        <f>H109-worksheet!$F$8*D109/worksheet!$F$42/1000</f>
        <v>0.33247341146928733</v>
      </c>
      <c r="H109" s="44">
        <f>C109/worksheet!$F$52</f>
        <v>2.6324786324786285</v>
      </c>
      <c r="I109" s="44">
        <f>0.5*worksheet!$F$62/100*worksheet!$F$29*(G109+H109)*E109*B109/1000*worksheet!$F$11</f>
        <v>95.48450906311507</v>
      </c>
      <c r="J109" s="46">
        <f t="shared" si="10"/>
        <v>68.235294117647058</v>
      </c>
      <c r="L109" s="44">
        <v>3.22</v>
      </c>
      <c r="M109" s="44" t="str">
        <f>IF(worksheet!$F$10="Rapid charger",50+(worksheet!$F$16-50)*(worksheet!J$11-3)/(worksheet!$F$14-3)," ")</f>
        <v xml:space="preserve"> </v>
      </c>
      <c r="N109" s="60">
        <f t="shared" si="8"/>
        <v>0.48533333333333251</v>
      </c>
      <c r="O109" s="44" t="e">
        <f>MIN(1000*worksheet!$F$37/M109,1000*worksheet!$F$42*N109/worksheet!$F$52/worksheet!$F$8)</f>
        <v>#VALUE!</v>
      </c>
      <c r="P109" s="44" t="e">
        <f>MIN(1000*(1-worksheet!$F$37/M109),worksheet!$F$8*O109/worksheet!$F$29/worksheet!$J$11)</f>
        <v>#VALUE!</v>
      </c>
      <c r="Q109" s="44" t="e">
        <f t="shared" si="11"/>
        <v>#VALUE!</v>
      </c>
      <c r="R109" s="44" t="e">
        <f>S109-worksheet!$F$8*O109/worksheet!$F$42/1000</f>
        <v>#VALUE!</v>
      </c>
      <c r="S109" s="44">
        <f>N109/worksheet!$F$52</f>
        <v>2.4888888888888845</v>
      </c>
      <c r="T109" s="44" t="e">
        <f>0.5*worksheet!$F$62/100*worksheet!$F$29*(R109+S109)*P109*M109/1000*worksheet!$J$11</f>
        <v>#VALUE!</v>
      </c>
    </row>
    <row r="110" spans="1:20">
      <c r="A110" s="44">
        <v>3.24</v>
      </c>
      <c r="B110" s="44">
        <f>IF(worksheet!$F$10="Rapid charger",IF(worksheet!$F$11&gt;20,50+(worksheet!$F$16-50)*(worksheet!$F$11-3)/(worksheet!$F$11-3),50+(worksheet!$F$16-50)*(worksheet!$F$11-3)/(worksheet!$F$14-3)),IF(worksheet!$F$18&gt;20,50+(worksheet!$F$16-50)*(worksheet!$F$18-3)/(worksheet!$F$18-3),50+(worksheet!$F$16-50)*(worksheet!$F$18-3)/(worksheet!$F$14-3)))</f>
        <v>68.235294117647058</v>
      </c>
      <c r="C110" s="60">
        <f t="shared" si="7"/>
        <v>0.51749999999999918</v>
      </c>
      <c r="D110" s="44">
        <f>MIN(1000*worksheet!$F$36/B110,1000*worksheet!$F$42*C110/worksheet!$F$52/worksheet!$F$8)</f>
        <v>4.5163738885274336</v>
      </c>
      <c r="E110" s="44">
        <f>MIN(1000*(1-worksheet!$F$36/B110),worksheet!$F$8*D110/worksheet!$F$29/worksheet!$F$11)</f>
        <v>10.138798525265667</v>
      </c>
      <c r="F110" s="44" t="str">
        <f t="shared" si="9"/>
        <v>CCM</v>
      </c>
      <c r="G110" s="44">
        <f>H110-worksheet!$F$8*D110/worksheet!$F$42/1000</f>
        <v>0.35384093283680862</v>
      </c>
      <c r="H110" s="44">
        <f>C110/worksheet!$F$52</f>
        <v>2.6538461538461497</v>
      </c>
      <c r="I110" s="44">
        <f>0.5*worksheet!$F$62/100*worksheet!$F$29*(G110+H110)*E110*B110/1000*worksheet!$F$11</f>
        <v>96.860765580881036</v>
      </c>
      <c r="J110" s="46">
        <f t="shared" si="10"/>
        <v>68.235294117647058</v>
      </c>
      <c r="L110" s="44">
        <v>3.24</v>
      </c>
      <c r="M110" s="44" t="str">
        <f>IF(worksheet!$F$10="Rapid charger",50+(worksheet!$F$16-50)*(worksheet!J$11-3)/(worksheet!$F$14-3)," ")</f>
        <v xml:space="preserve"> </v>
      </c>
      <c r="N110" s="60">
        <f t="shared" si="8"/>
        <v>0.48899999999999916</v>
      </c>
      <c r="O110" s="44" t="e">
        <f>MIN(1000*worksheet!$F$37/M110,1000*worksheet!$F$42*N110/worksheet!$F$52/worksheet!$F$8)</f>
        <v>#VALUE!</v>
      </c>
      <c r="P110" s="44" t="e">
        <f>MIN(1000*(1-worksheet!$F$37/M110),worksheet!$F$8*O110/worksheet!$F$29/worksheet!$J$11)</f>
        <v>#VALUE!</v>
      </c>
      <c r="Q110" s="44" t="e">
        <f t="shared" si="11"/>
        <v>#VALUE!</v>
      </c>
      <c r="R110" s="44" t="e">
        <f>S110-worksheet!$F$8*O110/worksheet!$F$42/1000</f>
        <v>#VALUE!</v>
      </c>
      <c r="S110" s="44">
        <f>N110/worksheet!$F$52</f>
        <v>2.5076923076923032</v>
      </c>
      <c r="T110" s="44" t="e">
        <f>0.5*worksheet!$F$62/100*worksheet!$F$29*(R110+S110)*P110*M110/1000*worksheet!$J$11</f>
        <v>#VALUE!</v>
      </c>
    </row>
    <row r="111" spans="1:20">
      <c r="A111" s="44">
        <v>3.26</v>
      </c>
      <c r="B111" s="44">
        <f>IF(worksheet!$F$10="Rapid charger",IF(worksheet!$F$11&gt;20,50+(worksheet!$F$16-50)*(worksheet!$F$11-3)/(worksheet!$F$11-3),50+(worksheet!$F$16-50)*(worksheet!$F$11-3)/(worksheet!$F$14-3)),IF(worksheet!$F$18&gt;20,50+(worksheet!$F$16-50)*(worksheet!$F$18-3)/(worksheet!$F$18-3),50+(worksheet!$F$16-50)*(worksheet!$F$18-3)/(worksheet!$F$14-3)))</f>
        <v>68.235294117647058</v>
      </c>
      <c r="C111" s="60">
        <f t="shared" si="7"/>
        <v>0.52166666666666583</v>
      </c>
      <c r="D111" s="44">
        <f>MIN(1000*worksheet!$F$36/B111,1000*worksheet!$F$42*C111/worksheet!$F$52/worksheet!$F$8)</f>
        <v>4.5163738885274336</v>
      </c>
      <c r="E111" s="44">
        <f>MIN(1000*(1-worksheet!$F$36/B111),worksheet!$F$8*D111/worksheet!$F$29/worksheet!$F$11)</f>
        <v>10.138798525265667</v>
      </c>
      <c r="F111" s="44" t="str">
        <f t="shared" si="9"/>
        <v>CCM</v>
      </c>
      <c r="G111" s="44">
        <f>H111-worksheet!$F$8*D111/worksheet!$F$42/1000</f>
        <v>0.37520845420432991</v>
      </c>
      <c r="H111" s="44">
        <f>C111/worksheet!$F$52</f>
        <v>2.675213675213671</v>
      </c>
      <c r="I111" s="44">
        <f>0.5*worksheet!$F$62/100*worksheet!$F$29*(G111+H111)*E111*B111/1000*worksheet!$F$11</f>
        <v>98.237022098646975</v>
      </c>
      <c r="J111" s="46">
        <f t="shared" si="10"/>
        <v>68.235294117647058</v>
      </c>
      <c r="L111" s="44">
        <v>3.26</v>
      </c>
      <c r="M111" s="44" t="str">
        <f>IF(worksheet!$F$10="Rapid charger",50+(worksheet!$F$16-50)*(worksheet!J$11-3)/(worksheet!$F$14-3)," ")</f>
        <v xml:space="preserve"> </v>
      </c>
      <c r="N111" s="60">
        <f t="shared" si="8"/>
        <v>0.49266666666666581</v>
      </c>
      <c r="O111" s="44" t="e">
        <f>MIN(1000*worksheet!$F$37/M111,1000*worksheet!$F$42*N111/worksheet!$F$52/worksheet!$F$8)</f>
        <v>#VALUE!</v>
      </c>
      <c r="P111" s="44" t="e">
        <f>MIN(1000*(1-worksheet!$F$37/M111),worksheet!$F$8*O111/worksheet!$F$29/worksheet!$J$11)</f>
        <v>#VALUE!</v>
      </c>
      <c r="Q111" s="44" t="e">
        <f t="shared" si="11"/>
        <v>#VALUE!</v>
      </c>
      <c r="R111" s="44" t="e">
        <f>S111-worksheet!$F$8*O111/worksheet!$F$42/1000</f>
        <v>#VALUE!</v>
      </c>
      <c r="S111" s="44">
        <f>N111/worksheet!$F$52</f>
        <v>2.526495726495722</v>
      </c>
      <c r="T111" s="44" t="e">
        <f>0.5*worksheet!$F$62/100*worksheet!$F$29*(R111+S111)*P111*M111/1000*worksheet!$J$11</f>
        <v>#VALUE!</v>
      </c>
    </row>
    <row r="112" spans="1:20">
      <c r="A112" s="44">
        <v>3.28</v>
      </c>
      <c r="B112" s="44">
        <f>IF(worksheet!$F$10="Rapid charger",IF(worksheet!$F$11&gt;20,50+(worksheet!$F$16-50)*(worksheet!$F$11-3)/(worksheet!$F$11-3),50+(worksheet!$F$16-50)*(worksheet!$F$11-3)/(worksheet!$F$14-3)),IF(worksheet!$F$18&gt;20,50+(worksheet!$F$16-50)*(worksheet!$F$18-3)/(worksheet!$F$18-3),50+(worksheet!$F$16-50)*(worksheet!$F$18-3)/(worksheet!$F$14-3)))</f>
        <v>68.235294117647058</v>
      </c>
      <c r="C112" s="60">
        <f t="shared" si="7"/>
        <v>0.52583333333333249</v>
      </c>
      <c r="D112" s="44">
        <f>MIN(1000*worksheet!$F$36/B112,1000*worksheet!$F$42*C112/worksheet!$F$52/worksheet!$F$8)</f>
        <v>4.5163738885274336</v>
      </c>
      <c r="E112" s="44">
        <f>MIN(1000*(1-worksheet!$F$36/B112),worksheet!$F$8*D112/worksheet!$F$29/worksheet!$F$11)</f>
        <v>10.138798525265667</v>
      </c>
      <c r="F112" s="44" t="str">
        <f t="shared" si="9"/>
        <v>CCM</v>
      </c>
      <c r="G112" s="44">
        <f>H112-worksheet!$F$8*D112/worksheet!$F$42/1000</f>
        <v>0.3965759755718512</v>
      </c>
      <c r="H112" s="44">
        <f>C112/worksheet!$F$52</f>
        <v>2.6965811965811923</v>
      </c>
      <c r="I112" s="44">
        <f>0.5*worksheet!$F$62/100*worksheet!$F$29*(G112+H112)*E112*B112/1000*worksheet!$F$11</f>
        <v>99.613278616412913</v>
      </c>
      <c r="J112" s="46">
        <f t="shared" si="10"/>
        <v>68.235294117647058</v>
      </c>
      <c r="L112" s="44">
        <v>3.28</v>
      </c>
      <c r="M112" s="44" t="str">
        <f>IF(worksheet!$F$10="Rapid charger",50+(worksheet!$F$16-50)*(worksheet!J$11-3)/(worksheet!$F$14-3)," ")</f>
        <v xml:space="preserve"> </v>
      </c>
      <c r="N112" s="60">
        <f t="shared" si="8"/>
        <v>0.49633333333333246</v>
      </c>
      <c r="O112" s="44" t="e">
        <f>MIN(1000*worksheet!$F$37/M112,1000*worksheet!$F$42*N112/worksheet!$F$52/worksheet!$F$8)</f>
        <v>#VALUE!</v>
      </c>
      <c r="P112" s="44" t="e">
        <f>MIN(1000*(1-worksheet!$F$37/M112),worksheet!$F$8*O112/worksheet!$F$29/worksheet!$J$11)</f>
        <v>#VALUE!</v>
      </c>
      <c r="Q112" s="44" t="e">
        <f t="shared" si="11"/>
        <v>#VALUE!</v>
      </c>
      <c r="R112" s="44" t="e">
        <f>S112-worksheet!$F$8*O112/worksheet!$F$42/1000</f>
        <v>#VALUE!</v>
      </c>
      <c r="S112" s="44">
        <f>N112/worksheet!$F$52</f>
        <v>2.5452991452991407</v>
      </c>
      <c r="T112" s="44" t="e">
        <f>0.5*worksheet!$F$62/100*worksheet!$F$29*(R112+S112)*P112*M112/1000*worksheet!$J$11</f>
        <v>#VALUE!</v>
      </c>
    </row>
    <row r="113" spans="1:20">
      <c r="A113" s="44">
        <v>3.3</v>
      </c>
      <c r="B113" s="44">
        <f>IF(worksheet!$F$10="Rapid charger",IF(worksheet!$F$11&gt;20,50+(worksheet!$F$16-50)*(worksheet!$F$11-3)/(worksheet!$F$11-3),50+(worksheet!$F$16-50)*(worksheet!$F$11-3)/(worksheet!$F$14-3)),IF(worksheet!$F$18&gt;20,50+(worksheet!$F$16-50)*(worksheet!$F$18-3)/(worksheet!$F$18-3),50+(worksheet!$F$16-50)*(worksheet!$F$18-3)/(worksheet!$F$14-3)))</f>
        <v>68.235294117647058</v>
      </c>
      <c r="C113" s="44">
        <v>0.53</v>
      </c>
      <c r="D113" s="44">
        <f>MIN(1000*worksheet!$F$36/B113,1000*worksheet!$F$42*C113/worksheet!$F$52/worksheet!$F$8)</f>
        <v>4.5163738885274336</v>
      </c>
      <c r="E113" s="44">
        <f>MIN(1000*(1-worksheet!$F$36/B113),worksheet!$F$8*D113/worksheet!$F$29/worksheet!$F$11)</f>
        <v>10.138798525265667</v>
      </c>
      <c r="F113" s="44" t="str">
        <f t="shared" si="9"/>
        <v>CCM</v>
      </c>
      <c r="G113" s="44">
        <f>H113-worksheet!$F$8*D113/worksheet!$F$42/1000</f>
        <v>0.41794349693937694</v>
      </c>
      <c r="H113" s="44">
        <f>C113/worksheet!$F$52</f>
        <v>2.7179487179487181</v>
      </c>
      <c r="I113" s="44">
        <f>0.5*worksheet!$F$62/100*worksheet!$F$29*(G113+H113)*E113*B113/1000*worksheet!$F$11</f>
        <v>100.98953513417916</v>
      </c>
      <c r="J113" s="46">
        <f t="shared" si="10"/>
        <v>68.235294117647058</v>
      </c>
      <c r="L113" s="44">
        <v>3.3</v>
      </c>
      <c r="M113" s="44" t="str">
        <f>IF(worksheet!$F$10="Rapid charger",50+(worksheet!$F$16-50)*(worksheet!J$11-3)/(worksheet!$F$14-3)," ")</f>
        <v xml:space="preserve"> </v>
      </c>
      <c r="N113" s="44">
        <v>0.5</v>
      </c>
      <c r="O113" s="44" t="e">
        <f>MIN(1000*worksheet!$F$37/M113,1000*worksheet!$F$42*N113/worksheet!$F$52/worksheet!$F$8)</f>
        <v>#VALUE!</v>
      </c>
      <c r="P113" s="44" t="e">
        <f>MIN(1000*(1-worksheet!$F$37/M113),worksheet!$F$8*O113/worksheet!$F$29/worksheet!$J$11)</f>
        <v>#VALUE!</v>
      </c>
      <c r="Q113" s="44" t="e">
        <f t="shared" si="11"/>
        <v>#VALUE!</v>
      </c>
      <c r="R113" s="44" t="e">
        <f>S113-worksheet!$F$8*O113/worksheet!$F$42/1000</f>
        <v>#VALUE!</v>
      </c>
      <c r="S113" s="44">
        <f>N113/worksheet!$F$52</f>
        <v>2.5641025641025639</v>
      </c>
      <c r="T113" s="44" t="e">
        <f>0.5*worksheet!$F$62/100*worksheet!$F$29*(R113+S113)*P113*M113/1000*worksheet!$J$11</f>
        <v>#VALUE!</v>
      </c>
    </row>
  </sheetData>
  <phoneticPr fontId="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13"/>
  <sheetViews>
    <sheetView topLeftCell="A35" zoomScale="85" zoomScaleNormal="85" workbookViewId="0">
      <selection activeCell="G29" sqref="G29"/>
    </sheetView>
  </sheetViews>
  <sheetFormatPr defaultColWidth="8.6328125" defaultRowHeight="14.5"/>
  <cols>
    <col min="1" max="1" width="8.6328125" style="45"/>
    <col min="2" max="2" width="13.7265625" style="45" bestFit="1" customWidth="1"/>
    <col min="3" max="3" width="8.6328125" style="45"/>
    <col min="4" max="5" width="11.7265625" style="45" bestFit="1" customWidth="1"/>
    <col min="6" max="6" width="8.6328125" style="45"/>
    <col min="7" max="7" width="13.26953125" style="45" bestFit="1" customWidth="1"/>
    <col min="8" max="9" width="11.7265625" style="45" bestFit="1" customWidth="1"/>
    <col min="10" max="10" width="11.7265625" style="45" customWidth="1"/>
    <col min="11" max="11" width="8.6328125" style="45"/>
    <col min="12" max="12" width="8.6328125" style="45" customWidth="1"/>
    <col min="13" max="13" width="13.6328125" style="45" customWidth="1"/>
    <col min="14" max="14" width="8.6328125" style="45" customWidth="1"/>
    <col min="15" max="16" width="11.7265625" style="45" customWidth="1"/>
    <col min="17" max="18" width="8.6328125" style="45" customWidth="1"/>
    <col min="19" max="20" width="11.7265625" style="45" customWidth="1"/>
    <col min="21" max="16384" width="8.6328125" style="45"/>
  </cols>
  <sheetData>
    <row r="1" spans="1:23" ht="14.15" customHeight="1">
      <c r="A1" s="44" t="str">
        <f>worksheet!$F$11&amp;"V"</f>
        <v>14V</v>
      </c>
      <c r="B1" s="44"/>
      <c r="C1" s="44"/>
      <c r="D1" s="44"/>
      <c r="E1" s="44"/>
      <c r="F1" s="44"/>
      <c r="G1" s="44"/>
      <c r="H1" s="44"/>
      <c r="I1" s="44"/>
      <c r="J1" s="44"/>
      <c r="K1" s="44"/>
      <c r="L1" s="44" t="str">
        <f>worksheet!$J$11&amp;"V"</f>
        <v>15V</v>
      </c>
      <c r="M1" s="44"/>
      <c r="N1" s="44"/>
      <c r="O1" s="44"/>
      <c r="P1" s="44"/>
      <c r="Q1" s="44"/>
      <c r="R1" s="44"/>
      <c r="S1" s="44"/>
      <c r="T1" s="44"/>
      <c r="U1" s="44"/>
      <c r="V1" s="44"/>
      <c r="W1" s="44"/>
    </row>
    <row r="2" spans="1:23" ht="28">
      <c r="A2" s="44" t="s">
        <v>112</v>
      </c>
      <c r="B2" s="44" t="s">
        <v>113</v>
      </c>
      <c r="C2" s="44" t="s">
        <v>114</v>
      </c>
      <c r="D2" s="44" t="s">
        <v>115</v>
      </c>
      <c r="E2" s="44" t="s">
        <v>116</v>
      </c>
      <c r="F2" s="44" t="s">
        <v>117</v>
      </c>
      <c r="G2" s="44" t="s">
        <v>121</v>
      </c>
      <c r="H2" s="44" t="s">
        <v>119</v>
      </c>
      <c r="I2" s="44" t="s">
        <v>120</v>
      </c>
      <c r="J2" s="44"/>
      <c r="L2" s="44" t="s">
        <v>112</v>
      </c>
      <c r="M2" s="44" t="s">
        <v>113</v>
      </c>
      <c r="N2" s="44" t="s">
        <v>114</v>
      </c>
      <c r="O2" s="44" t="s">
        <v>115</v>
      </c>
      <c r="P2" s="44" t="s">
        <v>116</v>
      </c>
      <c r="Q2" s="44" t="s">
        <v>117</v>
      </c>
      <c r="R2" s="44" t="s">
        <v>121</v>
      </c>
      <c r="S2" s="44" t="s">
        <v>119</v>
      </c>
      <c r="T2" s="44" t="s">
        <v>120</v>
      </c>
    </row>
    <row r="3" spans="1:23">
      <c r="A3" s="44">
        <v>1.1000000000000001</v>
      </c>
      <c r="B3" s="44">
        <v>25</v>
      </c>
      <c r="C3" s="44">
        <v>0.2</v>
      </c>
      <c r="D3" s="44">
        <f>1000*worksheet!$F$42*C3/worksheet!$F$52/worksheet!$F$8</f>
        <v>2.0139860139860142</v>
      </c>
      <c r="E3" s="44">
        <f>worksheet!$F$8*D3/worksheet!$F$29/worksheet!$F$11</f>
        <v>4.5211930926216644</v>
      </c>
      <c r="F3" s="44" t="str">
        <f>IF((D3+E3)&lt;(1000/B3),"DCM","CDCM")</f>
        <v>DCM</v>
      </c>
      <c r="G3" s="44">
        <f>IF(F3="DCM",1/(1/B3),1000/(D3+E3+worksheet!$F$43/1000))</f>
        <v>25</v>
      </c>
      <c r="H3" s="44">
        <f>C3/worksheet!$F$52</f>
        <v>1.0256410256410258</v>
      </c>
      <c r="I3" s="44">
        <f>0.5*worksheet!$F$62/100*worksheet!$F$29*H3*E3*G3/1000*worksheet!$F$11</f>
        <v>5.3964497041420127</v>
      </c>
      <c r="J3" s="46">
        <f>G3</f>
        <v>25</v>
      </c>
      <c r="L3" s="44">
        <v>1.1000000000000001</v>
      </c>
      <c r="M3" s="44" t="str">
        <f>IF(worksheet!$F$10="Rapid charger",25," ")</f>
        <v xml:space="preserve"> </v>
      </c>
      <c r="N3" s="44">
        <v>0.2</v>
      </c>
      <c r="O3" s="44">
        <f>1000*worksheet!$F$42*N3/worksheet!$F$52/worksheet!$F$8</f>
        <v>2.0139860139860142</v>
      </c>
      <c r="P3" s="44">
        <f>worksheet!$F$8*O3/worksheet!$F$29/worksheet!$J$11</f>
        <v>4.2197802197802199</v>
      </c>
      <c r="Q3" s="44" t="e">
        <f>IF((O3+P3)&lt;(1000/M3),"DCM","CDCM")</f>
        <v>#VALUE!</v>
      </c>
      <c r="R3" s="44" t="e">
        <f>IF(Q3="DCM",1/(1/M3),1000/(O3+P3+worksheet!$F$43/1000))</f>
        <v>#VALUE!</v>
      </c>
      <c r="S3" s="44">
        <f>N3/worksheet!$F$52</f>
        <v>1.0256410256410258</v>
      </c>
      <c r="T3" s="44" t="e">
        <f>0.5*worksheet!$F$62/100*worksheet!$F$29*S3*P3*R3/1000*worksheet!$J$11</f>
        <v>#VALUE!</v>
      </c>
    </row>
    <row r="4" spans="1:23">
      <c r="A4" s="44">
        <v>1.1200000000000001</v>
      </c>
      <c r="B4" s="44">
        <v>25</v>
      </c>
      <c r="C4" s="44">
        <f>C3+($C$28-$C$3)/25</f>
        <v>0.2016</v>
      </c>
      <c r="D4" s="44">
        <f>1000*worksheet!$F$42*C4/worksheet!$F$52/worksheet!$F$8</f>
        <v>2.0300979020979022</v>
      </c>
      <c r="E4" s="44">
        <f>worksheet!$F$8*D4/worksheet!$F$29/worksheet!$F$11</f>
        <v>4.5573626373626377</v>
      </c>
      <c r="F4" s="44" t="str">
        <f t="shared" ref="F4:F67" si="0">IF((D4+E4)&lt;(1000/B4),"DCM","CDCM")</f>
        <v>DCM</v>
      </c>
      <c r="G4" s="44">
        <f>IF(F4="DCM",1/(1/B4),1000/(D4+E4+worksheet!$F$43/1000))</f>
        <v>25</v>
      </c>
      <c r="H4" s="44">
        <f>C4/worksheet!$F$52</f>
        <v>1.0338461538461539</v>
      </c>
      <c r="I4" s="44">
        <f>0.5*worksheet!$F$62/100*worksheet!$F$29*H4*E4*G4/1000*worksheet!$F$11</f>
        <v>5.4831382721893487</v>
      </c>
      <c r="J4" s="46">
        <f t="shared" ref="J4:J67" si="1">G4</f>
        <v>25</v>
      </c>
      <c r="L4" s="44">
        <v>1.1200000000000001</v>
      </c>
      <c r="M4" s="44" t="str">
        <f>IF(worksheet!$F$10="Rapid charger",25," ")</f>
        <v xml:space="preserve"> </v>
      </c>
      <c r="N4" s="44">
        <f>N3+($C$28-$C$3)/25</f>
        <v>0.2016</v>
      </c>
      <c r="O4" s="44">
        <f>1000*worksheet!$F$42*N4/worksheet!$F$52/worksheet!$F$8</f>
        <v>2.0300979020979022</v>
      </c>
      <c r="P4" s="44">
        <f>worksheet!$F$8*O4/worksheet!$F$29/worksheet!$J$11</f>
        <v>4.2535384615384615</v>
      </c>
      <c r="Q4" s="44" t="e">
        <f t="shared" ref="Q4:Q24" si="2">IF((O4+P4)&lt;(1000/M4),"DCM","CDCM")</f>
        <v>#VALUE!</v>
      </c>
      <c r="R4" s="44" t="e">
        <f>IF(Q4="DCM",1/(1/M4),1000/(O4+P4+worksheet!$F$43/1000))</f>
        <v>#VALUE!</v>
      </c>
      <c r="S4" s="44">
        <f>N4/worksheet!$F$52</f>
        <v>1.0338461538461539</v>
      </c>
      <c r="T4" s="44" t="e">
        <f>0.5*worksheet!$F$62/100*worksheet!$F$29*S4*P4*R4/1000*worksheet!$J$11</f>
        <v>#VALUE!</v>
      </c>
    </row>
    <row r="5" spans="1:23">
      <c r="A5" s="44">
        <v>1.1399999999999999</v>
      </c>
      <c r="B5" s="44">
        <v>25</v>
      </c>
      <c r="C5" s="44">
        <f t="shared" ref="C5:C27" si="3">C4+($C$28-$C$3)/25</f>
        <v>0.20319999999999999</v>
      </c>
      <c r="D5" s="44">
        <f>1000*worksheet!$F$42*C5/worksheet!$F$52/worksheet!$F$8</f>
        <v>2.0462097902097902</v>
      </c>
      <c r="E5" s="44">
        <f>worksheet!$F$8*D5/worksheet!$F$29/worksheet!$F$11</f>
        <v>4.5935321821036101</v>
      </c>
      <c r="F5" s="44" t="str">
        <f t="shared" si="0"/>
        <v>DCM</v>
      </c>
      <c r="G5" s="44">
        <f>IF(F5="DCM",1/(1/B5),1000/(D5+E5+worksheet!$F$43/1000))</f>
        <v>25</v>
      </c>
      <c r="H5" s="44">
        <f>C5/worksheet!$F$52</f>
        <v>1.0420512820512819</v>
      </c>
      <c r="I5" s="44">
        <f>0.5*worksheet!$F$62/100*worksheet!$F$29*H5*E5*G5/1000*worksheet!$F$11</f>
        <v>5.5705175857988154</v>
      </c>
      <c r="J5" s="46">
        <f t="shared" si="1"/>
        <v>25</v>
      </c>
      <c r="L5" s="44">
        <v>1.1399999999999999</v>
      </c>
      <c r="M5" s="44" t="str">
        <f>IF(worksheet!$F$10="Rapid charger",25," ")</f>
        <v xml:space="preserve"> </v>
      </c>
      <c r="N5" s="44">
        <f t="shared" ref="N5:N27" si="4">N4+($C$28-$C$3)/25</f>
        <v>0.20319999999999999</v>
      </c>
      <c r="O5" s="44">
        <f>1000*worksheet!$F$42*N5/worksheet!$F$52/worksheet!$F$8</f>
        <v>2.0462097902097902</v>
      </c>
      <c r="P5" s="44">
        <f>worksheet!$F$8*O5/worksheet!$F$29/worksheet!$J$11</f>
        <v>4.2872967032967031</v>
      </c>
      <c r="Q5" s="44" t="e">
        <f t="shared" si="2"/>
        <v>#VALUE!</v>
      </c>
      <c r="R5" s="44" t="e">
        <f>IF(Q5="DCM",1/(1/M5),1000/(O5+P5+worksheet!$F$43/1000))</f>
        <v>#VALUE!</v>
      </c>
      <c r="S5" s="44">
        <f>N5/worksheet!$F$52</f>
        <v>1.0420512820512819</v>
      </c>
      <c r="T5" s="44" t="e">
        <f>0.5*worksheet!$F$62/100*worksheet!$F$29*S5*P5*R5/1000*worksheet!$J$11</f>
        <v>#VALUE!</v>
      </c>
    </row>
    <row r="6" spans="1:23">
      <c r="A6" s="44">
        <v>1.1599999999999999</v>
      </c>
      <c r="B6" s="44">
        <v>25</v>
      </c>
      <c r="C6" s="44">
        <f t="shared" si="3"/>
        <v>0.20479999999999998</v>
      </c>
      <c r="D6" s="44">
        <f>1000*worksheet!$F$42*C6/worksheet!$F$52/worksheet!$F$8</f>
        <v>2.0623216783216782</v>
      </c>
      <c r="E6" s="44">
        <f>worksheet!$F$8*D6/worksheet!$F$29/worksheet!$F$11</f>
        <v>4.6297017268445844</v>
      </c>
      <c r="F6" s="44" t="str">
        <f t="shared" si="0"/>
        <v>DCM</v>
      </c>
      <c r="G6" s="44">
        <f>IF(F6="DCM",1/(1/B6),1000/(D6+E6+worksheet!$F$43/1000))</f>
        <v>25</v>
      </c>
      <c r="H6" s="44">
        <f>C6/worksheet!$F$52</f>
        <v>1.05025641025641</v>
      </c>
      <c r="I6" s="44">
        <f>0.5*worksheet!$F$62/100*worksheet!$F$29*H6*E6*G6/1000*worksheet!$F$11</f>
        <v>5.658587644970412</v>
      </c>
      <c r="J6" s="46">
        <f t="shared" si="1"/>
        <v>25</v>
      </c>
      <c r="L6" s="44">
        <v>1.1599999999999999</v>
      </c>
      <c r="M6" s="44" t="str">
        <f>IF(worksheet!$F$10="Rapid charger",25," ")</f>
        <v xml:space="preserve"> </v>
      </c>
      <c r="N6" s="44">
        <f t="shared" si="4"/>
        <v>0.20479999999999998</v>
      </c>
      <c r="O6" s="44">
        <f>1000*worksheet!$F$42*N6/worksheet!$F$52/worksheet!$F$8</f>
        <v>2.0623216783216782</v>
      </c>
      <c r="P6" s="44">
        <f>worksheet!$F$8*O6/worksheet!$F$29/worksheet!$J$11</f>
        <v>4.3210549450549447</v>
      </c>
      <c r="Q6" s="44" t="e">
        <f t="shared" si="2"/>
        <v>#VALUE!</v>
      </c>
      <c r="R6" s="44" t="e">
        <f>IF(Q6="DCM",1/(1/M6),1000/(O6+P6+worksheet!$F$43/1000))</f>
        <v>#VALUE!</v>
      </c>
      <c r="S6" s="44">
        <f>N6/worksheet!$F$52</f>
        <v>1.05025641025641</v>
      </c>
      <c r="T6" s="44" t="e">
        <f>0.5*worksheet!$F$62/100*worksheet!$F$29*S6*P6*R6/1000*worksheet!$J$11</f>
        <v>#VALUE!</v>
      </c>
    </row>
    <row r="7" spans="1:23">
      <c r="A7" s="44">
        <v>1.18</v>
      </c>
      <c r="B7" s="44">
        <v>25</v>
      </c>
      <c r="C7" s="44">
        <f t="shared" si="3"/>
        <v>0.20639999999999997</v>
      </c>
      <c r="D7" s="44">
        <f>1000*worksheet!$F$42*C7/worksheet!$F$52/worksheet!$F$8</f>
        <v>2.0784335664335658</v>
      </c>
      <c r="E7" s="44">
        <f>worksheet!$F$8*D7/worksheet!$F$29/worksheet!$F$11</f>
        <v>4.6658712715855559</v>
      </c>
      <c r="F7" s="44" t="str">
        <f t="shared" si="0"/>
        <v>DCM</v>
      </c>
      <c r="G7" s="44">
        <f>IF(F7="DCM",1/(1/B7),1000/(D7+E7+worksheet!$F$43/1000))</f>
        <v>25</v>
      </c>
      <c r="H7" s="44">
        <f>C7/worksheet!$F$52</f>
        <v>1.0584615384615383</v>
      </c>
      <c r="I7" s="44">
        <f>0.5*worksheet!$F$62/100*worksheet!$F$29*H7*E7*G7/1000*worksheet!$F$11</f>
        <v>5.7473484497041394</v>
      </c>
      <c r="J7" s="46">
        <f t="shared" si="1"/>
        <v>25</v>
      </c>
      <c r="L7" s="44">
        <v>1.18</v>
      </c>
      <c r="M7" s="44" t="str">
        <f>IF(worksheet!$F$10="Rapid charger",25," ")</f>
        <v xml:space="preserve"> </v>
      </c>
      <c r="N7" s="44">
        <f t="shared" si="4"/>
        <v>0.20639999999999997</v>
      </c>
      <c r="O7" s="44">
        <f>1000*worksheet!$F$42*N7/worksheet!$F$52/worksheet!$F$8</f>
        <v>2.0784335664335658</v>
      </c>
      <c r="P7" s="44">
        <f>worksheet!$F$8*O7/worksheet!$F$29/worksheet!$J$11</f>
        <v>4.3548131868131854</v>
      </c>
      <c r="Q7" s="44" t="e">
        <f t="shared" si="2"/>
        <v>#VALUE!</v>
      </c>
      <c r="R7" s="44" t="e">
        <f>IF(Q7="DCM",1/(1/M7),1000/(O7+P7+worksheet!$F$43/1000))</f>
        <v>#VALUE!</v>
      </c>
      <c r="S7" s="44">
        <f>N7/worksheet!$F$52</f>
        <v>1.0584615384615383</v>
      </c>
      <c r="T7" s="44" t="e">
        <f>0.5*worksheet!$F$62/100*worksheet!$F$29*S7*P7*R7/1000*worksheet!$J$11</f>
        <v>#VALUE!</v>
      </c>
    </row>
    <row r="8" spans="1:23">
      <c r="A8" s="44">
        <v>1.2</v>
      </c>
      <c r="B8" s="44">
        <v>25</v>
      </c>
      <c r="C8" s="44">
        <f t="shared" si="3"/>
        <v>0.20799999999999996</v>
      </c>
      <c r="D8" s="44">
        <f>1000*worksheet!$F$42*C8/worksheet!$F$52/worksheet!$F$8</f>
        <v>2.0945454545454543</v>
      </c>
      <c r="E8" s="44">
        <f>worksheet!$F$8*D8/worksheet!$F$29/worksheet!$F$11</f>
        <v>4.7020408163265301</v>
      </c>
      <c r="F8" s="44" t="str">
        <f t="shared" si="0"/>
        <v>DCM</v>
      </c>
      <c r="G8" s="44">
        <f>IF(F8="DCM",1/(1/B8),1000/(D8+E8+worksheet!$F$43/1000))</f>
        <v>25</v>
      </c>
      <c r="H8" s="44">
        <f>C8/worksheet!$F$52</f>
        <v>1.0666666666666664</v>
      </c>
      <c r="I8" s="44">
        <f>0.5*worksheet!$F$62/100*worksheet!$F$29*H8*E8*G8/1000*worksheet!$F$11</f>
        <v>5.8367999999999975</v>
      </c>
      <c r="J8" s="46">
        <f t="shared" si="1"/>
        <v>25</v>
      </c>
      <c r="L8" s="44">
        <v>1.2</v>
      </c>
      <c r="M8" s="44" t="str">
        <f>IF(worksheet!$F$10="Rapid charger",25," ")</f>
        <v xml:space="preserve"> </v>
      </c>
      <c r="N8" s="44">
        <f t="shared" si="4"/>
        <v>0.20799999999999996</v>
      </c>
      <c r="O8" s="44">
        <f>1000*worksheet!$F$42*N8/worksheet!$F$52/worksheet!$F$8</f>
        <v>2.0945454545454543</v>
      </c>
      <c r="P8" s="44">
        <f>worksheet!$F$8*O8/worksheet!$F$29/worksheet!$J$11</f>
        <v>4.3885714285714279</v>
      </c>
      <c r="Q8" s="44" t="e">
        <f t="shared" si="2"/>
        <v>#VALUE!</v>
      </c>
      <c r="R8" s="44" t="e">
        <f>IF(Q8="DCM",1/(1/M8),1000/(O8+P8+worksheet!$F$43/1000))</f>
        <v>#VALUE!</v>
      </c>
      <c r="S8" s="44">
        <f>N8/worksheet!$F$52</f>
        <v>1.0666666666666664</v>
      </c>
      <c r="T8" s="44" t="e">
        <f>0.5*worksheet!$F$62/100*worksheet!$F$29*S8*P8*R8/1000*worksheet!$J$11</f>
        <v>#VALUE!</v>
      </c>
    </row>
    <row r="9" spans="1:23">
      <c r="A9" s="44">
        <v>1.22</v>
      </c>
      <c r="B9" s="44">
        <v>25</v>
      </c>
      <c r="C9" s="44">
        <f t="shared" si="3"/>
        <v>0.20959999999999995</v>
      </c>
      <c r="D9" s="44">
        <f>1000*worksheet!$F$42*C9/worksheet!$F$52/worksheet!$F$8</f>
        <v>2.1106573426573418</v>
      </c>
      <c r="E9" s="44">
        <f>worksheet!$F$8*D9/worksheet!$F$29/worksheet!$F$11</f>
        <v>4.7382103610675026</v>
      </c>
      <c r="F9" s="44" t="str">
        <f t="shared" si="0"/>
        <v>DCM</v>
      </c>
      <c r="G9" s="44">
        <f>IF(F9="DCM",1/(1/B9),1000/(D9+E9+worksheet!$F$43/1000))</f>
        <v>25</v>
      </c>
      <c r="H9" s="44">
        <f>C9/worksheet!$F$52</f>
        <v>1.0748717948717945</v>
      </c>
      <c r="I9" s="44">
        <f>0.5*worksheet!$F$62/100*worksheet!$F$29*H9*E9*G9/1000*worksheet!$F$11</f>
        <v>5.9269422958579847</v>
      </c>
      <c r="J9" s="46">
        <f t="shared" si="1"/>
        <v>25</v>
      </c>
      <c r="L9" s="44">
        <v>1.22</v>
      </c>
      <c r="M9" s="44" t="str">
        <f>IF(worksheet!$F$10="Rapid charger",25," ")</f>
        <v xml:space="preserve"> </v>
      </c>
      <c r="N9" s="44">
        <f t="shared" si="4"/>
        <v>0.20959999999999995</v>
      </c>
      <c r="O9" s="44">
        <f>1000*worksheet!$F$42*N9/worksheet!$F$52/worksheet!$F$8</f>
        <v>2.1106573426573418</v>
      </c>
      <c r="P9" s="44">
        <f>worksheet!$F$8*O9/worksheet!$F$29/worksheet!$J$11</f>
        <v>4.4223296703296695</v>
      </c>
      <c r="Q9" s="44" t="e">
        <f t="shared" si="2"/>
        <v>#VALUE!</v>
      </c>
      <c r="R9" s="44" t="e">
        <f>IF(Q9="DCM",1/(1/M9),1000/(O9+P9+worksheet!$F$43/1000))</f>
        <v>#VALUE!</v>
      </c>
      <c r="S9" s="44">
        <f>N9/worksheet!$F$52</f>
        <v>1.0748717948717945</v>
      </c>
      <c r="T9" s="44" t="e">
        <f>0.5*worksheet!$F$62/100*worksheet!$F$29*S9*P9*R9/1000*worksheet!$J$11</f>
        <v>#VALUE!</v>
      </c>
    </row>
    <row r="10" spans="1:23">
      <c r="A10" s="44">
        <v>1.24</v>
      </c>
      <c r="B10" s="44">
        <v>25</v>
      </c>
      <c r="C10" s="44">
        <f t="shared" si="3"/>
        <v>0.21119999999999994</v>
      </c>
      <c r="D10" s="44">
        <f>1000*worksheet!$F$42*C10/worksheet!$F$52/worksheet!$F$8</f>
        <v>2.1267692307692299</v>
      </c>
      <c r="E10" s="44">
        <f>worksheet!$F$8*D10/worksheet!$F$29/worksheet!$F$11</f>
        <v>4.774379905808475</v>
      </c>
      <c r="F10" s="44" t="str">
        <f t="shared" si="0"/>
        <v>DCM</v>
      </c>
      <c r="G10" s="44">
        <f>IF(F10="DCM",1/(1/B10),1000/(D10+E10+worksheet!$F$43/1000))</f>
        <v>25</v>
      </c>
      <c r="H10" s="44">
        <f>C10/worksheet!$F$52</f>
        <v>1.0830769230769228</v>
      </c>
      <c r="I10" s="44">
        <f>0.5*worksheet!$F$62/100*worksheet!$F$29*H10*E10*G10/1000*worksheet!$F$11</f>
        <v>6.0177753372781018</v>
      </c>
      <c r="J10" s="46">
        <f t="shared" si="1"/>
        <v>25</v>
      </c>
      <c r="L10" s="44">
        <v>1.24</v>
      </c>
      <c r="M10" s="44" t="str">
        <f>IF(worksheet!$F$10="Rapid charger",25," ")</f>
        <v xml:space="preserve"> </v>
      </c>
      <c r="N10" s="44">
        <f t="shared" si="4"/>
        <v>0.21119999999999994</v>
      </c>
      <c r="O10" s="44">
        <f>1000*worksheet!$F$42*N10/worksheet!$F$52/worksheet!$F$8</f>
        <v>2.1267692307692299</v>
      </c>
      <c r="P10" s="44">
        <f>worksheet!$F$8*O10/worksheet!$F$29/worksheet!$J$11</f>
        <v>4.4560879120879102</v>
      </c>
      <c r="Q10" s="44" t="e">
        <f t="shared" si="2"/>
        <v>#VALUE!</v>
      </c>
      <c r="R10" s="44" t="e">
        <f>IF(Q10="DCM",1/(1/M10),1000/(O10+P10+worksheet!$F$43/1000))</f>
        <v>#VALUE!</v>
      </c>
      <c r="S10" s="44">
        <f>N10/worksheet!$F$52</f>
        <v>1.0830769230769228</v>
      </c>
      <c r="T10" s="44" t="e">
        <f>0.5*worksheet!$F$62/100*worksheet!$F$29*S10*P10*R10/1000*worksheet!$J$11</f>
        <v>#VALUE!</v>
      </c>
    </row>
    <row r="11" spans="1:23">
      <c r="A11" s="44">
        <v>1.26</v>
      </c>
      <c r="B11" s="44">
        <v>25</v>
      </c>
      <c r="C11" s="44">
        <f t="shared" si="3"/>
        <v>0.21279999999999993</v>
      </c>
      <c r="D11" s="44">
        <f>1000*worksheet!$F$42*C11/worksheet!$F$52/worksheet!$F$8</f>
        <v>2.1428811188811179</v>
      </c>
      <c r="E11" s="44">
        <f>worksheet!$F$8*D11/worksheet!$F$29/worksheet!$F$11</f>
        <v>4.8105494505494475</v>
      </c>
      <c r="F11" s="44" t="str">
        <f t="shared" si="0"/>
        <v>DCM</v>
      </c>
      <c r="G11" s="44">
        <f>IF(F11="DCM",1/(1/B11),1000/(D11+E11+worksheet!$F$43/1000))</f>
        <v>25</v>
      </c>
      <c r="H11" s="44">
        <f>C11/worksheet!$F$52</f>
        <v>1.0912820512820509</v>
      </c>
      <c r="I11" s="44">
        <f>0.5*worksheet!$F$62/100*worksheet!$F$29*H11*E11*G11/1000*worksheet!$F$11</f>
        <v>6.1092991242603478</v>
      </c>
      <c r="J11" s="46">
        <f t="shared" si="1"/>
        <v>25</v>
      </c>
      <c r="L11" s="44">
        <v>1.26</v>
      </c>
      <c r="M11" s="44" t="str">
        <f>IF(worksheet!$F$10="Rapid charger",25," ")</f>
        <v xml:space="preserve"> </v>
      </c>
      <c r="N11" s="44">
        <f t="shared" si="4"/>
        <v>0.21279999999999993</v>
      </c>
      <c r="O11" s="44">
        <f>1000*worksheet!$F$42*N11/worksheet!$F$52/worksheet!$F$8</f>
        <v>2.1428811188811179</v>
      </c>
      <c r="P11" s="44">
        <f>worksheet!$F$8*O11/worksheet!$F$29/worksheet!$J$11</f>
        <v>4.4898461538461509</v>
      </c>
      <c r="Q11" s="44" t="e">
        <f t="shared" si="2"/>
        <v>#VALUE!</v>
      </c>
      <c r="R11" s="44" t="e">
        <f>IF(Q11="DCM",1/(1/M11),1000/(O11+P11+worksheet!$F$43/1000))</f>
        <v>#VALUE!</v>
      </c>
      <c r="S11" s="44">
        <f>N11/worksheet!$F$52</f>
        <v>1.0912820512820509</v>
      </c>
      <c r="T11" s="44" t="e">
        <f>0.5*worksheet!$F$62/100*worksheet!$F$29*S11*P11*R11/1000*worksheet!$J$11</f>
        <v>#VALUE!</v>
      </c>
    </row>
    <row r="12" spans="1:23">
      <c r="A12" s="44">
        <v>1.28</v>
      </c>
      <c r="B12" s="44">
        <v>25</v>
      </c>
      <c r="C12" s="44">
        <f t="shared" si="3"/>
        <v>0.21439999999999992</v>
      </c>
      <c r="D12" s="44">
        <f>1000*worksheet!$F$42*C12/worksheet!$F$52/worksheet!$F$8</f>
        <v>2.1589930069930063</v>
      </c>
      <c r="E12" s="44">
        <f>worksheet!$F$8*D12/worksheet!$F$29/worksheet!$F$11</f>
        <v>4.8467189952904226</v>
      </c>
      <c r="F12" s="44" t="str">
        <f t="shared" si="0"/>
        <v>DCM</v>
      </c>
      <c r="G12" s="44">
        <f>IF(F12="DCM",1/(1/B12),1000/(D12+E12+worksheet!$F$43/1000))</f>
        <v>25</v>
      </c>
      <c r="H12" s="44">
        <f>C12/worksheet!$F$52</f>
        <v>1.099487179487179</v>
      </c>
      <c r="I12" s="44">
        <f>0.5*worksheet!$F$62/100*worksheet!$F$29*H12*E12*G12/1000*worksheet!$F$11</f>
        <v>6.2015136568047282</v>
      </c>
      <c r="J12" s="46">
        <f t="shared" si="1"/>
        <v>25</v>
      </c>
      <c r="L12" s="44">
        <v>1.28</v>
      </c>
      <c r="M12" s="44" t="str">
        <f>IF(worksheet!$F$10="Rapid charger",25," ")</f>
        <v xml:space="preserve"> </v>
      </c>
      <c r="N12" s="44">
        <f t="shared" si="4"/>
        <v>0.21439999999999992</v>
      </c>
      <c r="O12" s="44">
        <f>1000*worksheet!$F$42*N12/worksheet!$F$52/worksheet!$F$8</f>
        <v>2.1589930069930063</v>
      </c>
      <c r="P12" s="44">
        <f>worksheet!$F$8*O12/worksheet!$F$29/worksheet!$J$11</f>
        <v>4.5236043956043943</v>
      </c>
      <c r="Q12" s="44" t="e">
        <f t="shared" si="2"/>
        <v>#VALUE!</v>
      </c>
      <c r="R12" s="44" t="e">
        <f>IF(Q12="DCM",1/(1/M12),1000/(O12+P12+worksheet!$F$43/1000))</f>
        <v>#VALUE!</v>
      </c>
      <c r="S12" s="44">
        <f>N12/worksheet!$F$52</f>
        <v>1.099487179487179</v>
      </c>
      <c r="T12" s="44" t="e">
        <f>0.5*worksheet!$F$62/100*worksheet!$F$29*S12*P12*R12/1000*worksheet!$J$11</f>
        <v>#VALUE!</v>
      </c>
    </row>
    <row r="13" spans="1:23">
      <c r="A13" s="44">
        <v>1.3</v>
      </c>
      <c r="B13" s="44">
        <v>25</v>
      </c>
      <c r="C13" s="44">
        <f t="shared" si="3"/>
        <v>0.21599999999999991</v>
      </c>
      <c r="D13" s="44">
        <f>1000*worksheet!$F$42*C13/worksheet!$F$52/worksheet!$F$8</f>
        <v>2.1751048951048944</v>
      </c>
      <c r="E13" s="44">
        <f>worksheet!$F$8*D13/worksheet!$F$29/worksheet!$F$11</f>
        <v>4.8828885400313951</v>
      </c>
      <c r="F13" s="44" t="str">
        <f t="shared" si="0"/>
        <v>DCM</v>
      </c>
      <c r="G13" s="44">
        <f>IF(F13="DCM",1/(1/B13),1000/(D13+E13+worksheet!$F$43/1000))</f>
        <v>25</v>
      </c>
      <c r="H13" s="44">
        <f>C13/worksheet!$F$52</f>
        <v>1.1076923076923073</v>
      </c>
      <c r="I13" s="44">
        <f>0.5*worksheet!$F$62/100*worksheet!$F$29*H13*E13*G13/1000*worksheet!$F$11</f>
        <v>6.2944189349112367</v>
      </c>
      <c r="J13" s="46">
        <f t="shared" si="1"/>
        <v>25</v>
      </c>
      <c r="L13" s="44">
        <v>1.3</v>
      </c>
      <c r="M13" s="44" t="str">
        <f>IF(worksheet!$F$10="Rapid charger",25," ")</f>
        <v xml:space="preserve"> </v>
      </c>
      <c r="N13" s="44">
        <f t="shared" si="4"/>
        <v>0.21599999999999991</v>
      </c>
      <c r="O13" s="44">
        <f>1000*worksheet!$F$42*N13/worksheet!$F$52/worksheet!$F$8</f>
        <v>2.1751048951048944</v>
      </c>
      <c r="P13" s="44">
        <f>worksheet!$F$8*O13/worksheet!$F$29/worksheet!$J$11</f>
        <v>4.557362637362635</v>
      </c>
      <c r="Q13" s="44" t="e">
        <f t="shared" si="2"/>
        <v>#VALUE!</v>
      </c>
      <c r="R13" s="44" t="e">
        <f>IF(Q13="DCM",1/(1/M13),1000/(O13+P13+worksheet!$F$43/1000))</f>
        <v>#VALUE!</v>
      </c>
      <c r="S13" s="44">
        <f>N13/worksheet!$F$52</f>
        <v>1.1076923076923073</v>
      </c>
      <c r="T13" s="44" t="e">
        <f>0.5*worksheet!$F$62/100*worksheet!$F$29*S13*P13*R13/1000*worksheet!$J$11</f>
        <v>#VALUE!</v>
      </c>
    </row>
    <row r="14" spans="1:23">
      <c r="A14" s="44">
        <v>1.32</v>
      </c>
      <c r="B14" s="44">
        <v>25</v>
      </c>
      <c r="C14" s="44">
        <f t="shared" si="3"/>
        <v>0.2175999999999999</v>
      </c>
      <c r="D14" s="44">
        <f>1000*worksheet!$F$42*C14/worksheet!$F$52/worksheet!$F$8</f>
        <v>2.1912167832167824</v>
      </c>
      <c r="E14" s="44">
        <f>worksheet!$F$8*D14/worksheet!$F$29/worksheet!$F$11</f>
        <v>4.9190580847723684</v>
      </c>
      <c r="F14" s="44" t="str">
        <f t="shared" si="0"/>
        <v>DCM</v>
      </c>
      <c r="G14" s="44">
        <f>IF(F14="DCM",1/(1/B14),1000/(D14+E14+worksheet!$F$43/1000))</f>
        <v>25</v>
      </c>
      <c r="H14" s="44">
        <f>C14/worksheet!$F$52</f>
        <v>1.1158974358974354</v>
      </c>
      <c r="I14" s="44">
        <f>0.5*worksheet!$F$62/100*worksheet!$F$29*H14*E14*G14/1000*worksheet!$F$11</f>
        <v>6.3880149585798751</v>
      </c>
      <c r="J14" s="46">
        <f t="shared" si="1"/>
        <v>25</v>
      </c>
      <c r="L14" s="44">
        <v>1.32</v>
      </c>
      <c r="M14" s="44" t="str">
        <f>IF(worksheet!$F$10="Rapid charger",25," ")</f>
        <v xml:space="preserve"> </v>
      </c>
      <c r="N14" s="44">
        <f t="shared" si="4"/>
        <v>0.2175999999999999</v>
      </c>
      <c r="O14" s="44">
        <f>1000*worksheet!$F$42*N14/worksheet!$F$52/worksheet!$F$8</f>
        <v>2.1912167832167824</v>
      </c>
      <c r="P14" s="44">
        <f>worksheet!$F$8*O14/worksheet!$F$29/worksheet!$J$11</f>
        <v>4.5911208791208775</v>
      </c>
      <c r="Q14" s="44" t="e">
        <f t="shared" si="2"/>
        <v>#VALUE!</v>
      </c>
      <c r="R14" s="44" t="e">
        <f>IF(Q14="DCM",1/(1/M14),1000/(O14+P14+worksheet!$F$43/1000))</f>
        <v>#VALUE!</v>
      </c>
      <c r="S14" s="44">
        <f>N14/worksheet!$F$52</f>
        <v>1.1158974358974354</v>
      </c>
      <c r="T14" s="44" t="e">
        <f>0.5*worksheet!$F$62/100*worksheet!$F$29*S14*P14*R14/1000*worksheet!$J$11</f>
        <v>#VALUE!</v>
      </c>
    </row>
    <row r="15" spans="1:23">
      <c r="A15" s="44">
        <v>1.34</v>
      </c>
      <c r="B15" s="44">
        <v>25</v>
      </c>
      <c r="C15" s="44">
        <f t="shared" si="3"/>
        <v>0.21919999999999989</v>
      </c>
      <c r="D15" s="44">
        <f>1000*worksheet!$F$42*C15/worksheet!$F$52/worksheet!$F$8</f>
        <v>2.2073286713286704</v>
      </c>
      <c r="E15" s="44">
        <f>worksheet!$F$8*D15/worksheet!$F$29/worksheet!$F$11</f>
        <v>4.9552276295133408</v>
      </c>
      <c r="F15" s="44" t="str">
        <f t="shared" si="0"/>
        <v>DCM</v>
      </c>
      <c r="G15" s="44">
        <f>IF(F15="DCM",1/(1/B15),1000/(D15+E15+worksheet!$F$43/1000))</f>
        <v>25</v>
      </c>
      <c r="H15" s="44">
        <f>C15/worksheet!$F$52</f>
        <v>1.1241025641025635</v>
      </c>
      <c r="I15" s="44">
        <f>0.5*worksheet!$F$62/100*worksheet!$F$29*H15*E15*G15/1000*worksheet!$F$11</f>
        <v>6.4823017278106425</v>
      </c>
      <c r="J15" s="46">
        <f t="shared" si="1"/>
        <v>25</v>
      </c>
      <c r="L15" s="44">
        <v>1.34</v>
      </c>
      <c r="M15" s="44" t="str">
        <f>IF(worksheet!$F$10="Rapid charger",25," ")</f>
        <v xml:space="preserve"> </v>
      </c>
      <c r="N15" s="44">
        <f t="shared" si="4"/>
        <v>0.21919999999999989</v>
      </c>
      <c r="O15" s="44">
        <f>1000*worksheet!$F$42*N15/worksheet!$F$52/worksheet!$F$8</f>
        <v>2.2073286713286704</v>
      </c>
      <c r="P15" s="44">
        <f>worksheet!$F$8*O15/worksheet!$F$29/worksheet!$J$11</f>
        <v>4.6248791208791182</v>
      </c>
      <c r="Q15" s="44" t="e">
        <f t="shared" si="2"/>
        <v>#VALUE!</v>
      </c>
      <c r="R15" s="44" t="e">
        <f>IF(Q15="DCM",1/(1/M15),1000/(O15+P15+worksheet!$F$43/1000))</f>
        <v>#VALUE!</v>
      </c>
      <c r="S15" s="44">
        <f>N15/worksheet!$F$52</f>
        <v>1.1241025641025635</v>
      </c>
      <c r="T15" s="44" t="e">
        <f>0.5*worksheet!$F$62/100*worksheet!$F$29*S15*P15*R15/1000*worksheet!$J$11</f>
        <v>#VALUE!</v>
      </c>
    </row>
    <row r="16" spans="1:23">
      <c r="A16" s="44">
        <v>1.36</v>
      </c>
      <c r="B16" s="44">
        <v>25</v>
      </c>
      <c r="C16" s="44">
        <f t="shared" si="3"/>
        <v>0.22079999999999989</v>
      </c>
      <c r="D16" s="44">
        <f>1000*worksheet!$F$42*C16/worksheet!$F$52/worksheet!$F$8</f>
        <v>2.2234405594405584</v>
      </c>
      <c r="E16" s="44">
        <f>worksheet!$F$8*D16/worksheet!$F$29/worksheet!$F$11</f>
        <v>4.9913971742543151</v>
      </c>
      <c r="F16" s="44" t="str">
        <f t="shared" si="0"/>
        <v>DCM</v>
      </c>
      <c r="G16" s="44">
        <f>IF(F16="DCM",1/(1/B16),1000/(D16+E16+worksheet!$F$43/1000))</f>
        <v>25</v>
      </c>
      <c r="H16" s="44">
        <f>C16/worksheet!$F$52</f>
        <v>1.1323076923076916</v>
      </c>
      <c r="I16" s="44">
        <f>0.5*worksheet!$F$62/100*worksheet!$F$29*H16*E16*G16/1000*worksheet!$F$11</f>
        <v>6.5772792426035425</v>
      </c>
      <c r="J16" s="46">
        <f t="shared" si="1"/>
        <v>25</v>
      </c>
      <c r="L16" s="44">
        <v>1.36</v>
      </c>
      <c r="M16" s="44" t="str">
        <f>IF(worksheet!$F$10="Rapid charger",25," ")</f>
        <v xml:space="preserve"> </v>
      </c>
      <c r="N16" s="44">
        <f t="shared" si="4"/>
        <v>0.22079999999999989</v>
      </c>
      <c r="O16" s="44">
        <f>1000*worksheet!$F$42*N16/worksheet!$F$52/worksheet!$F$8</f>
        <v>2.2234405594405584</v>
      </c>
      <c r="P16" s="44">
        <f>worksheet!$F$8*O16/worksheet!$F$29/worksheet!$J$11</f>
        <v>4.6586373626373607</v>
      </c>
      <c r="Q16" s="44" t="e">
        <f t="shared" si="2"/>
        <v>#VALUE!</v>
      </c>
      <c r="R16" s="44" t="e">
        <f>IF(Q16="DCM",1/(1/M16),1000/(O16+P16+worksheet!$F$43/1000))</f>
        <v>#VALUE!</v>
      </c>
      <c r="S16" s="44">
        <f>N16/worksheet!$F$52</f>
        <v>1.1323076923076916</v>
      </c>
      <c r="T16" s="44" t="e">
        <f>0.5*worksheet!$F$62/100*worksheet!$F$29*S16*P16*R16/1000*worksheet!$J$11</f>
        <v>#VALUE!</v>
      </c>
    </row>
    <row r="17" spans="1:20">
      <c r="A17" s="44">
        <v>1.38</v>
      </c>
      <c r="B17" s="44">
        <v>25</v>
      </c>
      <c r="C17" s="44">
        <f t="shared" si="3"/>
        <v>0.22239999999999988</v>
      </c>
      <c r="D17" s="44">
        <f>1000*worksheet!$F$42*C17/worksheet!$F$52/worksheet!$F$8</f>
        <v>2.2395524475524464</v>
      </c>
      <c r="E17" s="44">
        <f>worksheet!$F$8*D17/worksheet!$F$29/worksheet!$F$11</f>
        <v>5.0275667189952884</v>
      </c>
      <c r="F17" s="44" t="str">
        <f t="shared" si="0"/>
        <v>DCM</v>
      </c>
      <c r="G17" s="44">
        <f>IF(F17="DCM",1/(1/B17),1000/(D17+E17+worksheet!$F$43/1000))</f>
        <v>25</v>
      </c>
      <c r="H17" s="44">
        <f>C17/worksheet!$F$52</f>
        <v>1.1405128205128199</v>
      </c>
      <c r="I17" s="44">
        <f>0.5*worksheet!$F$62/100*worksheet!$F$29*H17*E17*G17/1000*worksheet!$F$11</f>
        <v>6.6729475029585732</v>
      </c>
      <c r="J17" s="46">
        <f t="shared" si="1"/>
        <v>25</v>
      </c>
      <c r="L17" s="44">
        <v>1.38</v>
      </c>
      <c r="M17" s="44" t="str">
        <f>IF(worksheet!$F$10="Rapid charger",25," ")</f>
        <v xml:space="preserve"> </v>
      </c>
      <c r="N17" s="44">
        <f t="shared" si="4"/>
        <v>0.22239999999999988</v>
      </c>
      <c r="O17" s="44">
        <f>1000*worksheet!$F$42*N17/worksheet!$F$52/worksheet!$F$8</f>
        <v>2.2395524475524464</v>
      </c>
      <c r="P17" s="44">
        <f>worksheet!$F$8*O17/worksheet!$F$29/worksheet!$J$11</f>
        <v>4.6923956043956023</v>
      </c>
      <c r="Q17" s="44" t="e">
        <f t="shared" si="2"/>
        <v>#VALUE!</v>
      </c>
      <c r="R17" s="44" t="e">
        <f>IF(Q17="DCM",1/(1/M17),1000/(O17+P17+worksheet!$F$43/1000))</f>
        <v>#VALUE!</v>
      </c>
      <c r="S17" s="44">
        <f>N17/worksheet!$F$52</f>
        <v>1.1405128205128199</v>
      </c>
      <c r="T17" s="44" t="e">
        <f>0.5*worksheet!$F$62/100*worksheet!$F$29*S17*P17*R17/1000*worksheet!$J$11</f>
        <v>#VALUE!</v>
      </c>
    </row>
    <row r="18" spans="1:20">
      <c r="A18" s="44">
        <v>1.4</v>
      </c>
      <c r="B18" s="44">
        <v>25</v>
      </c>
      <c r="C18" s="44">
        <f t="shared" si="3"/>
        <v>0.22399999999999987</v>
      </c>
      <c r="D18" s="44">
        <f>1000*worksheet!$F$42*C18/worksheet!$F$52/worksheet!$F$8</f>
        <v>2.2556643356643344</v>
      </c>
      <c r="E18" s="44">
        <f>worksheet!$F$8*D18/worksheet!$F$29/worksheet!$F$11</f>
        <v>5.0637362637362608</v>
      </c>
      <c r="F18" s="44" t="str">
        <f t="shared" si="0"/>
        <v>DCM</v>
      </c>
      <c r="G18" s="44">
        <f>IF(F18="DCM",1/(1/B18),1000/(D18+E18+worksheet!$F$43/1000))</f>
        <v>25</v>
      </c>
      <c r="H18" s="44">
        <f>C18/worksheet!$F$52</f>
        <v>1.148717948717948</v>
      </c>
      <c r="I18" s="44">
        <f>0.5*worksheet!$F$62/100*worksheet!$F$29*H18*E18*G18/1000*worksheet!$F$11</f>
        <v>6.7693065088757312</v>
      </c>
      <c r="J18" s="46">
        <f t="shared" si="1"/>
        <v>25</v>
      </c>
      <c r="L18" s="44">
        <v>1.4</v>
      </c>
      <c r="M18" s="44" t="str">
        <f>IF(worksheet!$F$10="Rapid charger",25," ")</f>
        <v xml:space="preserve"> </v>
      </c>
      <c r="N18" s="44">
        <f t="shared" si="4"/>
        <v>0.22399999999999987</v>
      </c>
      <c r="O18" s="44">
        <f>1000*worksheet!$F$42*N18/worksheet!$F$52/worksheet!$F$8</f>
        <v>2.2556643356643344</v>
      </c>
      <c r="P18" s="44">
        <f>worksheet!$F$8*O18/worksheet!$F$29/worksheet!$J$11</f>
        <v>4.7261538461538439</v>
      </c>
      <c r="Q18" s="44" t="e">
        <f t="shared" si="2"/>
        <v>#VALUE!</v>
      </c>
      <c r="R18" s="44" t="e">
        <f>IF(Q18="DCM",1/(1/M18),1000/(O18+P18+worksheet!$F$43/1000))</f>
        <v>#VALUE!</v>
      </c>
      <c r="S18" s="44">
        <f>N18/worksheet!$F$52</f>
        <v>1.148717948717948</v>
      </c>
      <c r="T18" s="44" t="e">
        <f>0.5*worksheet!$F$62/100*worksheet!$F$29*S18*P18*R18/1000*worksheet!$J$11</f>
        <v>#VALUE!</v>
      </c>
    </row>
    <row r="19" spans="1:20">
      <c r="A19" s="44">
        <v>1.42</v>
      </c>
      <c r="B19" s="44">
        <v>25</v>
      </c>
      <c r="C19" s="44">
        <f t="shared" si="3"/>
        <v>0.22559999999999986</v>
      </c>
      <c r="D19" s="44">
        <f>1000*worksheet!$F$42*C19/worksheet!$F$52/worksheet!$F$8</f>
        <v>2.271776223776222</v>
      </c>
      <c r="E19" s="44">
        <f>worksheet!$F$8*D19/worksheet!$F$29/worksheet!$F$11</f>
        <v>5.0999058084772324</v>
      </c>
      <c r="F19" s="44" t="str">
        <f t="shared" si="0"/>
        <v>DCM</v>
      </c>
      <c r="G19" s="44">
        <f>IF(F19="DCM",1/(1/B19),1000/(D19+E19+worksheet!$F$43/1000))</f>
        <v>25</v>
      </c>
      <c r="H19" s="44">
        <f>C19/worksheet!$F$52</f>
        <v>1.1569230769230761</v>
      </c>
      <c r="I19" s="44">
        <f>0.5*worksheet!$F$62/100*worksheet!$F$29*H19*E19*G19/1000*worksheet!$F$11</f>
        <v>6.8663562603550172</v>
      </c>
      <c r="J19" s="46">
        <f t="shared" si="1"/>
        <v>25</v>
      </c>
      <c r="L19" s="44">
        <v>1.42</v>
      </c>
      <c r="M19" s="44" t="str">
        <f>IF(worksheet!$F$10="Rapid charger",25," ")</f>
        <v xml:space="preserve"> </v>
      </c>
      <c r="N19" s="44">
        <f t="shared" si="4"/>
        <v>0.22559999999999986</v>
      </c>
      <c r="O19" s="44">
        <f>1000*worksheet!$F$42*N19/worksheet!$F$52/worksheet!$F$8</f>
        <v>2.271776223776222</v>
      </c>
      <c r="P19" s="44">
        <f>worksheet!$F$8*O19/worksheet!$F$29/worksheet!$J$11</f>
        <v>4.7599120879120838</v>
      </c>
      <c r="Q19" s="44" t="e">
        <f t="shared" si="2"/>
        <v>#VALUE!</v>
      </c>
      <c r="R19" s="44" t="e">
        <f>IF(Q19="DCM",1/(1/M19),1000/(O19+P19+worksheet!$F$43/1000))</f>
        <v>#VALUE!</v>
      </c>
      <c r="S19" s="44">
        <f>N19/worksheet!$F$52</f>
        <v>1.1569230769230761</v>
      </c>
      <c r="T19" s="44" t="e">
        <f>0.5*worksheet!$F$62/100*worksheet!$F$29*S19*P19*R19/1000*worksheet!$J$11</f>
        <v>#VALUE!</v>
      </c>
    </row>
    <row r="20" spans="1:20">
      <c r="A20" s="44">
        <v>1.44</v>
      </c>
      <c r="B20" s="44">
        <v>25</v>
      </c>
      <c r="C20" s="44">
        <f t="shared" si="3"/>
        <v>0.22719999999999985</v>
      </c>
      <c r="D20" s="44">
        <f>1000*worksheet!$F$42*C20/worksheet!$F$52/worksheet!$F$8</f>
        <v>2.2878881118881105</v>
      </c>
      <c r="E20" s="44">
        <f>worksheet!$F$8*D20/worksheet!$F$29/worksheet!$F$11</f>
        <v>5.1360753532182075</v>
      </c>
      <c r="F20" s="44" t="str">
        <f t="shared" si="0"/>
        <v>DCM</v>
      </c>
      <c r="G20" s="44">
        <f>IF(F20="DCM",1/(1/B20),1000/(D20+E20+worksheet!$F$43/1000))</f>
        <v>25</v>
      </c>
      <c r="H20" s="44">
        <f>C20/worksheet!$F$52</f>
        <v>1.1651282051282044</v>
      </c>
      <c r="I20" s="44">
        <f>0.5*worksheet!$F$62/100*worksheet!$F$29*H20*E20*G20/1000*worksheet!$F$11</f>
        <v>6.9640967573964403</v>
      </c>
      <c r="J20" s="46">
        <f t="shared" si="1"/>
        <v>25</v>
      </c>
      <c r="L20" s="44">
        <v>1.44</v>
      </c>
      <c r="M20" s="44" t="str">
        <f>IF(worksheet!$F$10="Rapid charger",25," ")</f>
        <v xml:space="preserve"> </v>
      </c>
      <c r="N20" s="44">
        <f t="shared" si="4"/>
        <v>0.22719999999999985</v>
      </c>
      <c r="O20" s="44">
        <f>1000*worksheet!$F$42*N20/worksheet!$F$52/worksheet!$F$8</f>
        <v>2.2878881118881105</v>
      </c>
      <c r="P20" s="44">
        <f>worksheet!$F$8*O20/worksheet!$F$29/worksheet!$J$11</f>
        <v>4.7936703296703262</v>
      </c>
      <c r="Q20" s="44" t="e">
        <f t="shared" si="2"/>
        <v>#VALUE!</v>
      </c>
      <c r="R20" s="44" t="e">
        <f>IF(Q20="DCM",1/(1/M20),1000/(O20+P20+worksheet!$F$43/1000))</f>
        <v>#VALUE!</v>
      </c>
      <c r="S20" s="44">
        <f>N20/worksheet!$F$52</f>
        <v>1.1651282051282044</v>
      </c>
      <c r="T20" s="44" t="e">
        <f>0.5*worksheet!$F$62/100*worksheet!$F$29*S20*P20*R20/1000*worksheet!$J$11</f>
        <v>#VALUE!</v>
      </c>
    </row>
    <row r="21" spans="1:20">
      <c r="A21" s="44">
        <v>1.46</v>
      </c>
      <c r="B21" s="44">
        <v>25</v>
      </c>
      <c r="C21" s="44">
        <f t="shared" si="3"/>
        <v>0.22879999999999984</v>
      </c>
      <c r="D21" s="44">
        <f>1000*worksheet!$F$42*C21/worksheet!$F$52/worksheet!$F$8</f>
        <v>2.303999999999998</v>
      </c>
      <c r="E21" s="44">
        <f>worksheet!$F$8*D21/worksheet!$F$29/worksheet!$F$11</f>
        <v>5.17224489795918</v>
      </c>
      <c r="F21" s="44" t="str">
        <f t="shared" si="0"/>
        <v>DCM</v>
      </c>
      <c r="G21" s="44">
        <f>IF(F21="DCM",1/(1/B21),1000/(D21+E21+worksheet!$F$43/1000))</f>
        <v>25</v>
      </c>
      <c r="H21" s="44">
        <f>C21/worksheet!$F$52</f>
        <v>1.1733333333333325</v>
      </c>
      <c r="I21" s="44">
        <f>0.5*worksheet!$F$62/100*worksheet!$F$29*H21*E21*G21/1000*worksheet!$F$11</f>
        <v>7.0625279999999879</v>
      </c>
      <c r="J21" s="46">
        <f t="shared" si="1"/>
        <v>25</v>
      </c>
      <c r="L21" s="44">
        <v>1.46</v>
      </c>
      <c r="M21" s="44" t="str">
        <f>IF(worksheet!$F$10="Rapid charger",25," ")</f>
        <v xml:space="preserve"> </v>
      </c>
      <c r="N21" s="44">
        <f t="shared" si="4"/>
        <v>0.22879999999999984</v>
      </c>
      <c r="O21" s="44">
        <f>1000*worksheet!$F$42*N21/worksheet!$F$52/worksheet!$F$8</f>
        <v>2.303999999999998</v>
      </c>
      <c r="P21" s="44">
        <f>worksheet!$F$8*O21/worksheet!$F$29/worksheet!$J$11</f>
        <v>4.8274285714285678</v>
      </c>
      <c r="Q21" s="44" t="e">
        <f t="shared" si="2"/>
        <v>#VALUE!</v>
      </c>
      <c r="R21" s="44" t="e">
        <f>IF(Q21="DCM",1/(1/M21),1000/(O21+P21+worksheet!$F$43/1000))</f>
        <v>#VALUE!</v>
      </c>
      <c r="S21" s="44">
        <f>N21/worksheet!$F$52</f>
        <v>1.1733333333333325</v>
      </c>
      <c r="T21" s="44" t="e">
        <f>0.5*worksheet!$F$62/100*worksheet!$F$29*S21*P21*R21/1000*worksheet!$J$11</f>
        <v>#VALUE!</v>
      </c>
    </row>
    <row r="22" spans="1:20">
      <c r="A22" s="44">
        <v>1.48</v>
      </c>
      <c r="B22" s="44">
        <v>25</v>
      </c>
      <c r="C22" s="44">
        <f t="shared" si="3"/>
        <v>0.23039999999999983</v>
      </c>
      <c r="D22" s="44">
        <f>1000*worksheet!$F$42*C22/worksheet!$F$52/worksheet!$F$8</f>
        <v>2.3201118881118861</v>
      </c>
      <c r="E22" s="44">
        <f>worksheet!$F$8*D22/worksheet!$F$29/worksheet!$F$11</f>
        <v>5.2084144427001524</v>
      </c>
      <c r="F22" s="44" t="str">
        <f t="shared" si="0"/>
        <v>DCM</v>
      </c>
      <c r="G22" s="44">
        <f>IF(F22="DCM",1/(1/B22),1000/(D22+E22+worksheet!$F$43/1000))</f>
        <v>25</v>
      </c>
      <c r="H22" s="44">
        <f>C22/worksheet!$F$52</f>
        <v>1.1815384615384605</v>
      </c>
      <c r="I22" s="44">
        <f>0.5*worksheet!$F$62/100*worksheet!$F$29*H22*E22*G22/1000*worksheet!$F$11</f>
        <v>7.1616499881656681</v>
      </c>
      <c r="J22" s="46">
        <f t="shared" si="1"/>
        <v>25</v>
      </c>
      <c r="L22" s="44">
        <v>1.48</v>
      </c>
      <c r="M22" s="44" t="str">
        <f>IF(worksheet!$F$10="Rapid charger",25," ")</f>
        <v xml:space="preserve"> </v>
      </c>
      <c r="N22" s="44">
        <f t="shared" si="4"/>
        <v>0.23039999999999983</v>
      </c>
      <c r="O22" s="44">
        <f>1000*worksheet!$F$42*N22/worksheet!$F$52/worksheet!$F$8</f>
        <v>2.3201118881118861</v>
      </c>
      <c r="P22" s="44">
        <f>worksheet!$F$8*O22/worksheet!$F$29/worksheet!$J$11</f>
        <v>4.8611868131868086</v>
      </c>
      <c r="Q22" s="44" t="e">
        <f t="shared" si="2"/>
        <v>#VALUE!</v>
      </c>
      <c r="R22" s="44" t="e">
        <f>IF(Q22="DCM",1/(1/M22),1000/(O22+P22+worksheet!$F$43/1000))</f>
        <v>#VALUE!</v>
      </c>
      <c r="S22" s="44">
        <f>N22/worksheet!$F$52</f>
        <v>1.1815384615384605</v>
      </c>
      <c r="T22" s="44" t="e">
        <f>0.5*worksheet!$F$62/100*worksheet!$F$29*S22*P22*R22/1000*worksheet!$J$11</f>
        <v>#VALUE!</v>
      </c>
    </row>
    <row r="23" spans="1:20">
      <c r="A23" s="44">
        <v>1.5</v>
      </c>
      <c r="B23" s="44">
        <v>25</v>
      </c>
      <c r="C23" s="44">
        <f t="shared" si="3"/>
        <v>0.23199999999999982</v>
      </c>
      <c r="D23" s="44">
        <f>1000*worksheet!$F$42*C23/worksheet!$F$52/worksheet!$F$8</f>
        <v>2.3362237762237741</v>
      </c>
      <c r="E23" s="44">
        <f>worksheet!$F$8*D23/worksheet!$F$29/worksheet!$F$11</f>
        <v>5.2445839874411257</v>
      </c>
      <c r="F23" s="44" t="str">
        <f t="shared" si="0"/>
        <v>DCM</v>
      </c>
      <c r="G23" s="44">
        <f>IF(F23="DCM",1/(1/B23),1000/(D23+E23+worksheet!$F$43/1000))</f>
        <v>25</v>
      </c>
      <c r="H23" s="44">
        <f>C23/worksheet!$F$52</f>
        <v>1.1897435897435888</v>
      </c>
      <c r="I23" s="44">
        <f>0.5*worksheet!$F$62/100*worksheet!$F$29*H23*E23*G23/1000*worksheet!$F$11</f>
        <v>7.2614627218934782</v>
      </c>
      <c r="J23" s="46">
        <f t="shared" si="1"/>
        <v>25</v>
      </c>
      <c r="L23" s="44">
        <v>1.5</v>
      </c>
      <c r="M23" s="44" t="str">
        <f>IF(worksheet!$F$10="Rapid charger",25," ")</f>
        <v xml:space="preserve"> </v>
      </c>
      <c r="N23" s="44">
        <f t="shared" si="4"/>
        <v>0.23199999999999982</v>
      </c>
      <c r="O23" s="44">
        <f>1000*worksheet!$F$42*N23/worksheet!$F$52/worksheet!$F$8</f>
        <v>2.3362237762237741</v>
      </c>
      <c r="P23" s="44">
        <f>worksheet!$F$8*O23/worksheet!$F$29/worksheet!$J$11</f>
        <v>4.8949450549450511</v>
      </c>
      <c r="Q23" s="44" t="e">
        <f t="shared" si="2"/>
        <v>#VALUE!</v>
      </c>
      <c r="R23" s="44" t="e">
        <f>IF(Q23="DCM",1/(1/M23),1000/(O23+P23+worksheet!$F$43/1000))</f>
        <v>#VALUE!</v>
      </c>
      <c r="S23" s="44">
        <f>N23/worksheet!$F$52</f>
        <v>1.1897435897435888</v>
      </c>
      <c r="T23" s="44" t="e">
        <f>0.5*worksheet!$F$62/100*worksheet!$F$29*S23*P23*R23/1000*worksheet!$J$11</f>
        <v>#VALUE!</v>
      </c>
    </row>
    <row r="24" spans="1:20">
      <c r="A24" s="44">
        <v>1.52</v>
      </c>
      <c r="B24" s="44">
        <v>25</v>
      </c>
      <c r="C24" s="44">
        <f t="shared" si="3"/>
        <v>0.23359999999999981</v>
      </c>
      <c r="D24" s="44">
        <f>1000*worksheet!$F$42*C24/worksheet!$F$52/worksheet!$F$8</f>
        <v>2.3523356643356625</v>
      </c>
      <c r="E24" s="44">
        <f>worksheet!$F$8*D24/worksheet!$F$29/worksheet!$F$11</f>
        <v>5.2807535321820991</v>
      </c>
      <c r="F24" s="44" t="str">
        <f t="shared" si="0"/>
        <v>DCM</v>
      </c>
      <c r="G24" s="44">
        <f>IF(F24="DCM",1/(1/B24),1000/(D24+E24+worksheet!$F$43/1000))</f>
        <v>25</v>
      </c>
      <c r="H24" s="44">
        <f>C24/worksheet!$F$52</f>
        <v>1.1979487179487169</v>
      </c>
      <c r="I24" s="44">
        <f>0.5*worksheet!$F$62/100*worksheet!$F$29*H24*E24*G24/1000*worksheet!$F$11</f>
        <v>7.361966201183419</v>
      </c>
      <c r="J24" s="46">
        <f t="shared" si="1"/>
        <v>25</v>
      </c>
      <c r="L24" s="44">
        <v>1.52</v>
      </c>
      <c r="M24" s="44" t="str">
        <f>IF(worksheet!$F$10="Rapid charger",25," ")</f>
        <v xml:space="preserve"> </v>
      </c>
      <c r="N24" s="44">
        <f t="shared" si="4"/>
        <v>0.23359999999999981</v>
      </c>
      <c r="O24" s="44">
        <f>1000*worksheet!$F$42*N24/worksheet!$F$52/worksheet!$F$8</f>
        <v>2.3523356643356625</v>
      </c>
      <c r="P24" s="44">
        <f>worksheet!$F$8*O24/worksheet!$F$29/worksheet!$J$11</f>
        <v>4.9287032967032927</v>
      </c>
      <c r="Q24" s="44" t="e">
        <f t="shared" si="2"/>
        <v>#VALUE!</v>
      </c>
      <c r="R24" s="44" t="e">
        <f>IF(Q24="DCM",1/(1/M24),1000/(O24+P24+worksheet!$F$43/1000))</f>
        <v>#VALUE!</v>
      </c>
      <c r="S24" s="44">
        <f>N24/worksheet!$F$52</f>
        <v>1.1979487179487169</v>
      </c>
      <c r="T24" s="44" t="e">
        <f>0.5*worksheet!$F$62/100*worksheet!$F$29*S24*P24*R24/1000*worksheet!$J$11</f>
        <v>#VALUE!</v>
      </c>
    </row>
    <row r="25" spans="1:20">
      <c r="A25" s="44">
        <v>1.54</v>
      </c>
      <c r="B25" s="44">
        <v>25</v>
      </c>
      <c r="C25" s="44">
        <f t="shared" si="3"/>
        <v>0.2351999999999998</v>
      </c>
      <c r="D25" s="44">
        <f>1000*worksheet!$F$42*C25/worksheet!$F$52/worksheet!$F$8</f>
        <v>2.3684475524475501</v>
      </c>
      <c r="E25" s="44">
        <f>worksheet!$F$8*D25/worksheet!$F$29/worksheet!$F$11</f>
        <v>5.3169230769230724</v>
      </c>
      <c r="F25" s="44" t="str">
        <f t="shared" si="0"/>
        <v>DCM</v>
      </c>
      <c r="G25" s="44">
        <f>IF(F25="DCM",1/(1/B25),1000/(D25+E25+worksheet!$F$43/1000))</f>
        <v>25</v>
      </c>
      <c r="H25" s="44">
        <f>C25/worksheet!$F$52</f>
        <v>1.206153846153845</v>
      </c>
      <c r="I25" s="44">
        <f>0.5*worksheet!$F$62/100*worksheet!$F$29*H25*E25*G25/1000*worksheet!$F$11</f>
        <v>7.4631604260354889</v>
      </c>
      <c r="J25" s="46">
        <f t="shared" si="1"/>
        <v>25</v>
      </c>
      <c r="L25" s="44">
        <v>1.54</v>
      </c>
      <c r="M25" s="44" t="str">
        <f>IF(worksheet!$F$10="Rapid charger",25," ")</f>
        <v xml:space="preserve"> </v>
      </c>
      <c r="N25" s="44">
        <f t="shared" si="4"/>
        <v>0.2351999999999998</v>
      </c>
      <c r="O25" s="44">
        <f>1000*worksheet!$F$42*N25/worksheet!$F$52/worksheet!$F$8</f>
        <v>2.3684475524475501</v>
      </c>
      <c r="P25" s="44">
        <f>worksheet!$F$8*O25/worksheet!$F$29/worksheet!$J$11</f>
        <v>4.9624615384615343</v>
      </c>
      <c r="Q25" s="44" t="e">
        <f>IF((O25+P25)&lt;(1000/M25),"DCM","CDCM")</f>
        <v>#VALUE!</v>
      </c>
      <c r="R25" s="44" t="e">
        <f>IF(Q25="DCM",1/(1/M25),1000/(O25+P25+worksheet!$F$43/1000))</f>
        <v>#VALUE!</v>
      </c>
      <c r="S25" s="44">
        <f>N25/worksheet!$F$52</f>
        <v>1.206153846153845</v>
      </c>
      <c r="T25" s="44" t="e">
        <f>0.5*worksheet!$F$62/100*worksheet!$F$29*S25*P25*R25/1000*worksheet!$J$11</f>
        <v>#VALUE!</v>
      </c>
    </row>
    <row r="26" spans="1:20">
      <c r="A26" s="44">
        <v>1.56</v>
      </c>
      <c r="B26" s="44">
        <v>25</v>
      </c>
      <c r="C26" s="44">
        <f t="shared" si="3"/>
        <v>0.23679999999999979</v>
      </c>
      <c r="D26" s="44">
        <f>1000*worksheet!$F$42*C26/worksheet!$F$52/worksheet!$F$8</f>
        <v>2.3845594405594381</v>
      </c>
      <c r="E26" s="44">
        <f>worksheet!$F$8*D26/worksheet!$F$29/worksheet!$F$11</f>
        <v>5.3530926216640449</v>
      </c>
      <c r="F26" s="44" t="str">
        <f t="shared" si="0"/>
        <v>DCM</v>
      </c>
      <c r="G26" s="44">
        <f>IF(F26="DCM",1/(1/B26),1000/(D26+E26+worksheet!$F$43/1000))</f>
        <v>25</v>
      </c>
      <c r="H26" s="44">
        <f>C26/worksheet!$F$52</f>
        <v>1.2143589743589733</v>
      </c>
      <c r="I26" s="44">
        <f>0.5*worksheet!$F$62/100*worksheet!$F$29*H26*E26*G26/1000*worksheet!$F$11</f>
        <v>7.5650453964496904</v>
      </c>
      <c r="J26" s="46">
        <f t="shared" si="1"/>
        <v>25</v>
      </c>
      <c r="L26" s="44">
        <v>1.56</v>
      </c>
      <c r="M26" s="44" t="str">
        <f>IF(worksheet!$F$10="Rapid charger",25," ")</f>
        <v xml:space="preserve"> </v>
      </c>
      <c r="N26" s="44">
        <f t="shared" si="4"/>
        <v>0.23679999999999979</v>
      </c>
      <c r="O26" s="44">
        <f>1000*worksheet!$F$42*N26/worksheet!$F$52/worksheet!$F$8</f>
        <v>2.3845594405594381</v>
      </c>
      <c r="P26" s="44">
        <f>worksheet!$F$8*O26/worksheet!$F$29/worksheet!$J$11</f>
        <v>4.996219780219775</v>
      </c>
      <c r="Q26" s="44" t="e">
        <f t="shared" ref="Q26:Q89" si="5">IF((O26+P26)&lt;(1000/M26),"DCM","CDCM")</f>
        <v>#VALUE!</v>
      </c>
      <c r="R26" s="44" t="e">
        <f>IF(Q26="DCM",1/(1/M26),1000/(O26+P26+worksheet!$F$43/1000))</f>
        <v>#VALUE!</v>
      </c>
      <c r="S26" s="44">
        <f>N26/worksheet!$F$52</f>
        <v>1.2143589743589733</v>
      </c>
      <c r="T26" s="44" t="e">
        <f>0.5*worksheet!$F$62/100*worksheet!$F$29*S26*P26*R26/1000*worksheet!$J$11</f>
        <v>#VALUE!</v>
      </c>
    </row>
    <row r="27" spans="1:20">
      <c r="A27" s="44">
        <v>1.58</v>
      </c>
      <c r="B27" s="44">
        <v>25</v>
      </c>
      <c r="C27" s="44">
        <f t="shared" si="3"/>
        <v>0.23839999999999978</v>
      </c>
      <c r="D27" s="44">
        <f>1000*worksheet!$F$42*C27/worksheet!$F$52/worksheet!$F$8</f>
        <v>2.4006713286713262</v>
      </c>
      <c r="E27" s="44">
        <f>worksheet!$F$8*D27/worksheet!$F$29/worksheet!$F$11</f>
        <v>5.3892621664050173</v>
      </c>
      <c r="F27" s="44" t="str">
        <f t="shared" si="0"/>
        <v>DCM</v>
      </c>
      <c r="G27" s="44">
        <f>IF(F27="DCM",1/(1/B27),1000/(D27+E27+worksheet!$F$43/1000))</f>
        <v>25</v>
      </c>
      <c r="H27" s="44">
        <f>C27/worksheet!$F$52</f>
        <v>1.2225641025641014</v>
      </c>
      <c r="I27" s="44">
        <f>0.5*worksheet!$F$62/100*worksheet!$F$29*H27*E27*G27/1000*worksheet!$F$11</f>
        <v>7.6676211124260174</v>
      </c>
      <c r="J27" s="46">
        <f t="shared" si="1"/>
        <v>25</v>
      </c>
      <c r="L27" s="44">
        <v>1.58</v>
      </c>
      <c r="M27" s="44" t="str">
        <f>IF(worksheet!$F$10="Rapid charger",25," ")</f>
        <v xml:space="preserve"> </v>
      </c>
      <c r="N27" s="44">
        <f t="shared" si="4"/>
        <v>0.23839999999999978</v>
      </c>
      <c r="O27" s="44">
        <f>1000*worksheet!$F$42*N27/worksheet!$F$52/worksheet!$F$8</f>
        <v>2.4006713286713262</v>
      </c>
      <c r="P27" s="44">
        <f>worksheet!$F$8*O27/worksheet!$F$29/worksheet!$J$11</f>
        <v>5.0299780219780157</v>
      </c>
      <c r="Q27" s="44" t="e">
        <f t="shared" si="5"/>
        <v>#VALUE!</v>
      </c>
      <c r="R27" s="44" t="e">
        <f>IF(Q27="DCM",1/(1/M27),1000/(O27+P27+worksheet!$F$43/1000))</f>
        <v>#VALUE!</v>
      </c>
      <c r="S27" s="44">
        <f>N27/worksheet!$F$52</f>
        <v>1.2225641025641014</v>
      </c>
      <c r="T27" s="44" t="e">
        <f>0.5*worksheet!$F$62/100*worksheet!$F$29*S27*P27*R27/1000*worksheet!$J$11</f>
        <v>#VALUE!</v>
      </c>
    </row>
    <row r="28" spans="1:20">
      <c r="A28" s="44">
        <v>1.6</v>
      </c>
      <c r="B28" s="44">
        <v>25</v>
      </c>
      <c r="C28" s="44">
        <v>0.24</v>
      </c>
      <c r="D28" s="44">
        <f>1000*worksheet!$F$42*C28/worksheet!$F$52/worksheet!$F$8</f>
        <v>2.4167832167832164</v>
      </c>
      <c r="E28" s="44">
        <f>worksheet!$F$8*D28/worksheet!$F$29/worksheet!$F$11</f>
        <v>5.425431711145996</v>
      </c>
      <c r="F28" s="44" t="str">
        <f t="shared" si="0"/>
        <v>DCM</v>
      </c>
      <c r="G28" s="44">
        <f>IF(F28="DCM",1/(1/B28),1000/(D28+E28+worksheet!$F$43/1000))</f>
        <v>25</v>
      </c>
      <c r="H28" s="44">
        <f>C28/worksheet!$F$52</f>
        <v>1.2307692307692306</v>
      </c>
      <c r="I28" s="44">
        <f>0.5*worksheet!$F$62/100*worksheet!$F$29*H28*E28*G28/1000*worksheet!$F$11</f>
        <v>7.7708875739644929</v>
      </c>
      <c r="J28" s="46">
        <f t="shared" si="1"/>
        <v>25</v>
      </c>
      <c r="L28" s="44">
        <v>1.6</v>
      </c>
      <c r="M28" s="44" t="str">
        <f>IF(worksheet!$F$10="Rapid charger",25," ")</f>
        <v xml:space="preserve"> </v>
      </c>
      <c r="N28" s="44">
        <v>0.24</v>
      </c>
      <c r="O28" s="44">
        <f>1000*worksheet!$F$42*N28/worksheet!$F$52/worksheet!$F$8</f>
        <v>2.4167832167832164</v>
      </c>
      <c r="P28" s="44">
        <f>worksheet!$F$8*O28/worksheet!$F$29/worksheet!$J$11</f>
        <v>5.0637362637362626</v>
      </c>
      <c r="Q28" s="44" t="e">
        <f t="shared" si="5"/>
        <v>#VALUE!</v>
      </c>
      <c r="R28" s="44" t="e">
        <f>IF(Q28="DCM",1/(1/M28),1000/(O28+P28+worksheet!$F$43/1000))</f>
        <v>#VALUE!</v>
      </c>
      <c r="S28" s="44">
        <f>N28/worksheet!$F$52</f>
        <v>1.2307692307692306</v>
      </c>
      <c r="T28" s="44" t="e">
        <f>0.5*worksheet!$F$62/100*worksheet!$F$29*S28*P28*R28/1000*worksheet!$J$11</f>
        <v>#VALUE!</v>
      </c>
    </row>
    <row r="29" spans="1:20">
      <c r="A29" s="44">
        <v>1.62</v>
      </c>
      <c r="B29" s="61">
        <f>B28+($B$53-$B$28)/25</f>
        <v>26.694117647058825</v>
      </c>
      <c r="C29" s="44">
        <v>0.24</v>
      </c>
      <c r="D29" s="44">
        <f>1000*worksheet!$F$42*C29/worksheet!$F$52/worksheet!$F$8</f>
        <v>2.4167832167832164</v>
      </c>
      <c r="E29" s="44">
        <f>worksheet!$F$8*D29/worksheet!$F$29/worksheet!$F$11</f>
        <v>5.425431711145996</v>
      </c>
      <c r="F29" s="44" t="str">
        <f t="shared" si="0"/>
        <v>DCM</v>
      </c>
      <c r="G29" s="44">
        <f>IF(F29="DCM",1000/(1000/B29+worksheet!$F$43/2/1000),1000/(D29+E29+worksheet!$F$43/2/1000))</f>
        <v>26.135976188501555</v>
      </c>
      <c r="H29" s="44">
        <f>C29/worksheet!$F$52</f>
        <v>1.2307692307692306</v>
      </c>
      <c r="I29" s="44">
        <f>0.5*worksheet!$F$62/100*worksheet!$F$29*H29*E29*G29/1000*worksheet!$F$11</f>
        <v>8.1239893038663435</v>
      </c>
      <c r="J29" s="46">
        <f t="shared" si="1"/>
        <v>26.135976188501555</v>
      </c>
      <c r="L29" s="44">
        <v>1.62</v>
      </c>
      <c r="M29" s="44" t="e">
        <f>M28+($M$53-$M$28)/25</f>
        <v>#VALUE!</v>
      </c>
      <c r="N29" s="44">
        <v>0.24</v>
      </c>
      <c r="O29" s="44">
        <f>1000*worksheet!$F$42*N29/worksheet!$F$52/worksheet!$F$8</f>
        <v>2.4167832167832164</v>
      </c>
      <c r="P29" s="44">
        <f>worksheet!$F$8*O29/worksheet!$F$29/worksheet!$J$11</f>
        <v>5.0637362637362626</v>
      </c>
      <c r="Q29" s="44" t="e">
        <f t="shared" si="5"/>
        <v>#VALUE!</v>
      </c>
      <c r="R29" s="44" t="e">
        <f>IF(Q29="DCM",1000/(1000/M29+worksheet!$F$43/1000),1000/(O29+P29+worksheet!$F$43/1000))</f>
        <v>#VALUE!</v>
      </c>
      <c r="S29" s="44">
        <f>N29/worksheet!$F$52</f>
        <v>1.2307692307692306</v>
      </c>
      <c r="T29" s="44" t="e">
        <f>0.5*worksheet!$F$62/100*worksheet!$F$29*S29*P29*R29/1000*worksheet!$J$11</f>
        <v>#VALUE!</v>
      </c>
    </row>
    <row r="30" spans="1:20">
      <c r="A30" s="44">
        <v>1.64</v>
      </c>
      <c r="B30" s="61">
        <f t="shared" ref="B30:B52" si="6">B29+($B$53-$B$28)/25</f>
        <v>28.388235294117649</v>
      </c>
      <c r="C30" s="44">
        <v>0.24</v>
      </c>
      <c r="D30" s="44">
        <f>1000*worksheet!$F$42*C30/worksheet!$F$52/worksheet!$F$8</f>
        <v>2.4167832167832164</v>
      </c>
      <c r="E30" s="44">
        <f>worksheet!$F$8*D30/worksheet!$F$29/worksheet!$F$11</f>
        <v>5.425431711145996</v>
      </c>
      <c r="F30" s="44" t="str">
        <f t="shared" si="0"/>
        <v>DCM</v>
      </c>
      <c r="G30" s="44">
        <f>IF(F30="DCM",1000/(1000/B30+worksheet!$F$43/2/1000),1000/(D30+E30+worksheet!$F$43/2/1000))</f>
        <v>27.757838454671788</v>
      </c>
      <c r="H30" s="44">
        <f>C30/worksheet!$F$52</f>
        <v>1.2307692307692306</v>
      </c>
      <c r="I30" s="44">
        <f>0.5*worksheet!$F$62/100*worksheet!$F$29*H30*E30*G30/1000*worksheet!$F$11</f>
        <v>8.6281216771009106</v>
      </c>
      <c r="J30" s="46">
        <f t="shared" si="1"/>
        <v>27.757838454671788</v>
      </c>
      <c r="L30" s="44">
        <v>1.64</v>
      </c>
      <c r="M30" s="44" t="e">
        <f t="shared" ref="M30:M52" si="7">M29+($M$53-$M$28)/25</f>
        <v>#VALUE!</v>
      </c>
      <c r="N30" s="44">
        <v>0.24</v>
      </c>
      <c r="O30" s="44">
        <f>1000*worksheet!$F$42*N30/worksheet!$F$52/worksheet!$F$8</f>
        <v>2.4167832167832164</v>
      </c>
      <c r="P30" s="44">
        <f>worksheet!$F$8*O30/worksheet!$F$29/worksheet!$J$11</f>
        <v>5.0637362637362626</v>
      </c>
      <c r="Q30" s="44" t="e">
        <f t="shared" si="5"/>
        <v>#VALUE!</v>
      </c>
      <c r="R30" s="44" t="e">
        <f>IF(Q30="DCM",1000/(1000/M30+worksheet!$F$43/1000),1000/(O30+P30+worksheet!$F$43/1000))</f>
        <v>#VALUE!</v>
      </c>
      <c r="S30" s="44">
        <f>N30/worksheet!$F$52</f>
        <v>1.2307692307692306</v>
      </c>
      <c r="T30" s="44" t="e">
        <f>0.5*worksheet!$F$62/100*worksheet!$F$29*S30*P30*R30/1000*worksheet!$J$11</f>
        <v>#VALUE!</v>
      </c>
    </row>
    <row r="31" spans="1:20">
      <c r="A31" s="44">
        <v>1.66</v>
      </c>
      <c r="B31" s="61">
        <f t="shared" si="6"/>
        <v>30.082352941176474</v>
      </c>
      <c r="C31" s="44">
        <v>0.24</v>
      </c>
      <c r="D31" s="44">
        <f>1000*worksheet!$F$42*C31/worksheet!$F$52/worksheet!$F$8</f>
        <v>2.4167832167832164</v>
      </c>
      <c r="E31" s="44">
        <f>worksheet!$F$8*D31/worksheet!$F$29/worksheet!$F$11</f>
        <v>5.425431711145996</v>
      </c>
      <c r="F31" s="44" t="str">
        <f t="shared" si="0"/>
        <v>DCM</v>
      </c>
      <c r="G31" s="44">
        <f>IF(F31="DCM",1000/(1000/B31+worksheet!$F$43/2/1000),1000/(D31+E31+worksheet!$F$43/2/1000))</f>
        <v>29.375407832216681</v>
      </c>
      <c r="H31" s="44">
        <f>C31/worksheet!$F$52</f>
        <v>1.2307692307692306</v>
      </c>
      <c r="I31" s="44">
        <f>0.5*worksheet!$F$62/100*worksheet!$F$29*H31*E31*G31/1000*worksheet!$F$11</f>
        <v>9.130919668140475</v>
      </c>
      <c r="J31" s="46">
        <f t="shared" si="1"/>
        <v>29.375407832216681</v>
      </c>
      <c r="L31" s="44">
        <v>1.66</v>
      </c>
      <c r="M31" s="44" t="e">
        <f t="shared" si="7"/>
        <v>#VALUE!</v>
      </c>
      <c r="N31" s="44">
        <v>0.24</v>
      </c>
      <c r="O31" s="44">
        <f>1000*worksheet!$F$42*N31/worksheet!$F$52/worksheet!$F$8</f>
        <v>2.4167832167832164</v>
      </c>
      <c r="P31" s="44">
        <f>worksheet!$F$8*O31/worksheet!$F$29/worksheet!$J$11</f>
        <v>5.0637362637362626</v>
      </c>
      <c r="Q31" s="44" t="e">
        <f t="shared" si="5"/>
        <v>#VALUE!</v>
      </c>
      <c r="R31" s="44" t="e">
        <f>IF(Q31="DCM",1000/(1000/M31+worksheet!$F$43/1000),1000/(O31+P31+worksheet!$F$43/1000))</f>
        <v>#VALUE!</v>
      </c>
      <c r="S31" s="44">
        <f>N31/worksheet!$F$52</f>
        <v>1.2307692307692306</v>
      </c>
      <c r="T31" s="44" t="e">
        <f>0.5*worksheet!$F$62/100*worksheet!$F$29*S31*P31*R31/1000*worksheet!$J$11</f>
        <v>#VALUE!</v>
      </c>
    </row>
    <row r="32" spans="1:20">
      <c r="A32" s="44">
        <v>1.68</v>
      </c>
      <c r="B32" s="61">
        <f t="shared" si="6"/>
        <v>31.776470588235298</v>
      </c>
      <c r="C32" s="44">
        <v>0.24</v>
      </c>
      <c r="D32" s="44">
        <f>1000*worksheet!$F$42*C32/worksheet!$F$52/worksheet!$F$8</f>
        <v>2.4167832167832164</v>
      </c>
      <c r="E32" s="44">
        <f>worksheet!$F$8*D32/worksheet!$F$29/worksheet!$F$11</f>
        <v>5.425431711145996</v>
      </c>
      <c r="F32" s="44" t="str">
        <f t="shared" si="0"/>
        <v>DCM</v>
      </c>
      <c r="G32" s="44">
        <f>IF(F32="DCM",1000/(1000/B32+worksheet!$F$43/2/1000),1000/(D32+E32+worksheet!$F$43/2/1000))</f>
        <v>30.988701342805484</v>
      </c>
      <c r="H32" s="44">
        <f>C32/worksheet!$F$52</f>
        <v>1.2307692307692306</v>
      </c>
      <c r="I32" s="44">
        <f>0.5*worksheet!$F$62/100*worksheet!$F$29*H32*E32*G32/1000*worksheet!$F$11</f>
        <v>9.6323885679241581</v>
      </c>
      <c r="J32" s="46">
        <f t="shared" si="1"/>
        <v>30.988701342805484</v>
      </c>
      <c r="L32" s="44">
        <v>1.68</v>
      </c>
      <c r="M32" s="44" t="e">
        <f t="shared" si="7"/>
        <v>#VALUE!</v>
      </c>
      <c r="N32" s="44">
        <v>0.24</v>
      </c>
      <c r="O32" s="44">
        <f>1000*worksheet!$F$42*N32/worksheet!$F$52/worksheet!$F$8</f>
        <v>2.4167832167832164</v>
      </c>
      <c r="P32" s="44">
        <f>worksheet!$F$8*O32/worksheet!$F$29/worksheet!$J$11</f>
        <v>5.0637362637362626</v>
      </c>
      <c r="Q32" s="44" t="e">
        <f t="shared" si="5"/>
        <v>#VALUE!</v>
      </c>
      <c r="R32" s="44" t="e">
        <f>IF(Q32="DCM",1000/(1000/M32+worksheet!$F$43/1000),1000/(O32+P32+worksheet!$F$43/1000))</f>
        <v>#VALUE!</v>
      </c>
      <c r="S32" s="44">
        <f>N32/worksheet!$F$52</f>
        <v>1.2307692307692306</v>
      </c>
      <c r="T32" s="44" t="e">
        <f>0.5*worksheet!$F$62/100*worksheet!$F$29*S32*P32*R32/1000*worksheet!$J$11</f>
        <v>#VALUE!</v>
      </c>
    </row>
    <row r="33" spans="1:20">
      <c r="A33" s="44">
        <v>1.7</v>
      </c>
      <c r="B33" s="61">
        <f t="shared" si="6"/>
        <v>33.470588235294123</v>
      </c>
      <c r="C33" s="44">
        <v>0.24</v>
      </c>
      <c r="D33" s="44">
        <f>1000*worksheet!$F$42*C33/worksheet!$F$52/worksheet!$F$8</f>
        <v>2.4167832167832164</v>
      </c>
      <c r="E33" s="44">
        <f>worksheet!$F$8*D33/worksheet!$F$29/worksheet!$F$11</f>
        <v>5.425431711145996</v>
      </c>
      <c r="F33" s="44" t="str">
        <f t="shared" si="0"/>
        <v>DCM</v>
      </c>
      <c r="G33" s="44">
        <f>IF(F33="DCM",1000/(1000/B33+worksheet!$F$43/2/1000),1000/(D33+E33+worksheet!$F$43/2/1000))</f>
        <v>32.597735918236403</v>
      </c>
      <c r="H33" s="44">
        <f>C33/worksheet!$F$52</f>
        <v>1.2307692307692306</v>
      </c>
      <c r="I33" s="44">
        <f>0.5*worksheet!$F$62/100*worksheet!$F$29*H33*E33*G33/1000*worksheet!$F$11</f>
        <v>10.132533639455971</v>
      </c>
      <c r="J33" s="46">
        <f t="shared" si="1"/>
        <v>32.597735918236403</v>
      </c>
      <c r="L33" s="44">
        <v>1.7</v>
      </c>
      <c r="M33" s="44" t="e">
        <f t="shared" si="7"/>
        <v>#VALUE!</v>
      </c>
      <c r="N33" s="44">
        <v>0.24</v>
      </c>
      <c r="O33" s="44">
        <f>1000*worksheet!$F$42*N33/worksheet!$F$52/worksheet!$F$8</f>
        <v>2.4167832167832164</v>
      </c>
      <c r="P33" s="44">
        <f>worksheet!$F$8*O33/worksheet!$F$29/worksheet!$J$11</f>
        <v>5.0637362637362626</v>
      </c>
      <c r="Q33" s="44" t="e">
        <f t="shared" si="5"/>
        <v>#VALUE!</v>
      </c>
      <c r="R33" s="44" t="e">
        <f>IF(Q33="DCM",1000/(1000/M33+worksheet!$F$43/1000),1000/(O33+P33+worksheet!$F$43/1000))</f>
        <v>#VALUE!</v>
      </c>
      <c r="S33" s="44">
        <f>N33/worksheet!$F$52</f>
        <v>1.2307692307692306</v>
      </c>
      <c r="T33" s="44" t="e">
        <f>0.5*worksheet!$F$62/100*worksheet!$F$29*S33*P33*R33/1000*worksheet!$J$11</f>
        <v>#VALUE!</v>
      </c>
    </row>
    <row r="34" spans="1:20">
      <c r="A34" s="44">
        <v>1.72</v>
      </c>
      <c r="B34" s="61">
        <f t="shared" si="6"/>
        <v>35.164705882352948</v>
      </c>
      <c r="C34" s="44">
        <v>0.24</v>
      </c>
      <c r="D34" s="44">
        <f>1000*worksheet!$F$42*C34/worksheet!$F$52/worksheet!$F$8</f>
        <v>2.4167832167832164</v>
      </c>
      <c r="E34" s="44">
        <f>worksheet!$F$8*D34/worksheet!$F$29/worksheet!$F$11</f>
        <v>5.425431711145996</v>
      </c>
      <c r="F34" s="44" t="str">
        <f t="shared" si="0"/>
        <v>DCM</v>
      </c>
      <c r="G34" s="44">
        <f>IF(F34="DCM",1000/(1000/B34+worksheet!$F$43/2/1000),1000/(D34+E34+worksheet!$F$43/2/1000))</f>
        <v>34.202528401028943</v>
      </c>
      <c r="H34" s="44">
        <f>C34/worksheet!$F$52</f>
        <v>1.2307692307692306</v>
      </c>
      <c r="I34" s="44">
        <f>0.5*worksheet!$F$62/100*worksheet!$F$29*H34*E34*G34/1000*worksheet!$F$11</f>
        <v>10.631360117988939</v>
      </c>
      <c r="J34" s="46">
        <f t="shared" si="1"/>
        <v>34.202528401028943</v>
      </c>
      <c r="L34" s="44">
        <v>1.72</v>
      </c>
      <c r="M34" s="44" t="e">
        <f t="shared" si="7"/>
        <v>#VALUE!</v>
      </c>
      <c r="N34" s="44">
        <v>0.24</v>
      </c>
      <c r="O34" s="44">
        <f>1000*worksheet!$F$42*N34/worksheet!$F$52/worksheet!$F$8</f>
        <v>2.4167832167832164</v>
      </c>
      <c r="P34" s="44">
        <f>worksheet!$F$8*O34/worksheet!$F$29/worksheet!$J$11</f>
        <v>5.0637362637362626</v>
      </c>
      <c r="Q34" s="44" t="e">
        <f t="shared" si="5"/>
        <v>#VALUE!</v>
      </c>
      <c r="R34" s="44" t="e">
        <f>IF(Q34="DCM",1000/(1000/M34+worksheet!$F$43/1000),1000/(O34+P34+worksheet!$F$43/1000))</f>
        <v>#VALUE!</v>
      </c>
      <c r="S34" s="44">
        <f>N34/worksheet!$F$52</f>
        <v>1.2307692307692306</v>
      </c>
      <c r="T34" s="44" t="e">
        <f>0.5*worksheet!$F$62/100*worksheet!$F$29*S34*P34*R34/1000*worksheet!$J$11</f>
        <v>#VALUE!</v>
      </c>
    </row>
    <row r="35" spans="1:20">
      <c r="A35" s="44">
        <v>1.74</v>
      </c>
      <c r="B35" s="61">
        <f t="shared" si="6"/>
        <v>36.858823529411772</v>
      </c>
      <c r="C35" s="44">
        <v>0.24</v>
      </c>
      <c r="D35" s="44">
        <f>1000*worksheet!$F$42*C35/worksheet!$F$52/worksheet!$F$8</f>
        <v>2.4167832167832164</v>
      </c>
      <c r="E35" s="44">
        <f>worksheet!$F$8*D35/worksheet!$F$29/worksheet!$F$11</f>
        <v>5.425431711145996</v>
      </c>
      <c r="F35" s="44" t="str">
        <f t="shared" si="0"/>
        <v>DCM</v>
      </c>
      <c r="G35" s="44">
        <f>IF(F35="DCM",1000/(1000/B35+worksheet!$F$43/2/1000),1000/(D35+E35+worksheet!$F$43/2/1000))</f>
        <v>35.803095545011573</v>
      </c>
      <c r="H35" s="44">
        <f>C35/worksheet!$F$52</f>
        <v>1.2307692307692306</v>
      </c>
      <c r="I35" s="44">
        <f>0.5*worksheet!$F$62/100*worksheet!$F$29*H35*E35*G35/1000*worksheet!$F$11</f>
        <v>11.128873211207758</v>
      </c>
      <c r="J35" s="46">
        <f t="shared" si="1"/>
        <v>35.803095545011573</v>
      </c>
      <c r="L35" s="44">
        <v>1.74</v>
      </c>
      <c r="M35" s="44" t="e">
        <f t="shared" si="7"/>
        <v>#VALUE!</v>
      </c>
      <c r="N35" s="44">
        <v>0.24</v>
      </c>
      <c r="O35" s="44">
        <f>1000*worksheet!$F$42*N35/worksheet!$F$52/worksheet!$F$8</f>
        <v>2.4167832167832164</v>
      </c>
      <c r="P35" s="44">
        <f>worksheet!$F$8*O35/worksheet!$F$29/worksheet!$J$11</f>
        <v>5.0637362637362626</v>
      </c>
      <c r="Q35" s="44" t="e">
        <f t="shared" si="5"/>
        <v>#VALUE!</v>
      </c>
      <c r="R35" s="44" t="e">
        <f>IF(Q35="DCM",1000/(1000/M35+worksheet!$F$43/1000),1000/(O35+P35+worksheet!$F$43/1000))</f>
        <v>#VALUE!</v>
      </c>
      <c r="S35" s="44">
        <f>N35/worksheet!$F$52</f>
        <v>1.2307692307692306</v>
      </c>
      <c r="T35" s="44" t="e">
        <f>0.5*worksheet!$F$62/100*worksheet!$F$29*S35*P35*R35/1000*worksheet!$J$11</f>
        <v>#VALUE!</v>
      </c>
    </row>
    <row r="36" spans="1:20">
      <c r="A36" s="44">
        <v>1.76</v>
      </c>
      <c r="B36" s="61">
        <f t="shared" si="6"/>
        <v>38.552941176470597</v>
      </c>
      <c r="C36" s="44">
        <v>0.24</v>
      </c>
      <c r="D36" s="44">
        <f>1000*worksheet!$F$42*C36/worksheet!$F$52/worksheet!$F$8</f>
        <v>2.4167832167832164</v>
      </c>
      <c r="E36" s="44">
        <f>worksheet!$F$8*D36/worksheet!$F$29/worksheet!$F$11</f>
        <v>5.425431711145996</v>
      </c>
      <c r="F36" s="44" t="str">
        <f t="shared" si="0"/>
        <v>DCM</v>
      </c>
      <c r="G36" s="44">
        <f>IF(F36="DCM",1000/(1000/B36+worksheet!$F$43/2/1000),1000/(D36+E36+worksheet!$F$43/2/1000))</f>
        <v>37.399454015904766</v>
      </c>
      <c r="H36" s="44">
        <f>C36/worksheet!$F$52</f>
        <v>1.2307692307692306</v>
      </c>
      <c r="I36" s="44">
        <f>0.5*worksheet!$F$62/100*worksheet!$F$29*H36*E36*G36/1000*worksheet!$F$11</f>
        <v>11.625078099410034</v>
      </c>
      <c r="J36" s="46">
        <f t="shared" si="1"/>
        <v>37.399454015904766</v>
      </c>
      <c r="L36" s="44">
        <v>1.76</v>
      </c>
      <c r="M36" s="44" t="e">
        <f t="shared" si="7"/>
        <v>#VALUE!</v>
      </c>
      <c r="N36" s="44">
        <v>0.24</v>
      </c>
      <c r="O36" s="44">
        <f>1000*worksheet!$F$42*N36/worksheet!$F$52/worksheet!$F$8</f>
        <v>2.4167832167832164</v>
      </c>
      <c r="P36" s="44">
        <f>worksheet!$F$8*O36/worksheet!$F$29/worksheet!$J$11</f>
        <v>5.0637362637362626</v>
      </c>
      <c r="Q36" s="44" t="e">
        <f t="shared" si="5"/>
        <v>#VALUE!</v>
      </c>
      <c r="R36" s="44" t="e">
        <f>IF(Q36="DCM",1000/(1000/M36+worksheet!$F$43/1000),1000/(O36+P36+worksheet!$F$43/1000))</f>
        <v>#VALUE!</v>
      </c>
      <c r="S36" s="44">
        <f>N36/worksheet!$F$52</f>
        <v>1.2307692307692306</v>
      </c>
      <c r="T36" s="44" t="e">
        <f>0.5*worksheet!$F$62/100*worksheet!$F$29*S36*P36*R36/1000*worksheet!$J$11</f>
        <v>#VALUE!</v>
      </c>
    </row>
    <row r="37" spans="1:20">
      <c r="A37" s="44">
        <v>1.78</v>
      </c>
      <c r="B37" s="61">
        <f t="shared" si="6"/>
        <v>40.247058823529422</v>
      </c>
      <c r="C37" s="44">
        <v>0.24</v>
      </c>
      <c r="D37" s="44">
        <f>1000*worksheet!$F$42*C37/worksheet!$F$52/worksheet!$F$8</f>
        <v>2.4167832167832164</v>
      </c>
      <c r="E37" s="44">
        <f>worksheet!$F$8*D37/worksheet!$F$29/worksheet!$F$11</f>
        <v>5.425431711145996</v>
      </c>
      <c r="F37" s="44" t="str">
        <f t="shared" si="0"/>
        <v>DCM</v>
      </c>
      <c r="G37" s="44">
        <f>IF(F37="DCM",1000/(1000/B37+worksheet!$F$43/2/1000),1000/(D37+E37+worksheet!$F$43/2/1000))</f>
        <v>38.991620391899417</v>
      </c>
      <c r="H37" s="44">
        <f>C37/worksheet!$F$52</f>
        <v>1.2307692307692306</v>
      </c>
      <c r="I37" s="44">
        <f>0.5*worksheet!$F$62/100*worksheet!$F$29*H37*E37*G37/1000*worksheet!$F$11</f>
        <v>12.11997993568607</v>
      </c>
      <c r="J37" s="46">
        <f t="shared" si="1"/>
        <v>38.991620391899417</v>
      </c>
      <c r="L37" s="44">
        <v>1.78</v>
      </c>
      <c r="M37" s="44" t="e">
        <f t="shared" si="7"/>
        <v>#VALUE!</v>
      </c>
      <c r="N37" s="44">
        <v>0.24</v>
      </c>
      <c r="O37" s="44">
        <f>1000*worksheet!$F$42*N37/worksheet!$F$52/worksheet!$F$8</f>
        <v>2.4167832167832164</v>
      </c>
      <c r="P37" s="44">
        <f>worksheet!$F$8*O37/worksheet!$F$29/worksheet!$J$11</f>
        <v>5.0637362637362626</v>
      </c>
      <c r="Q37" s="44" t="e">
        <f t="shared" si="5"/>
        <v>#VALUE!</v>
      </c>
      <c r="R37" s="44" t="e">
        <f>IF(Q37="DCM",1000/(1000/M37+worksheet!$F$43/1000),1000/(O37+P37+worksheet!$F$43/1000))</f>
        <v>#VALUE!</v>
      </c>
      <c r="S37" s="44">
        <f>N37/worksheet!$F$52</f>
        <v>1.2307692307692306</v>
      </c>
      <c r="T37" s="44" t="e">
        <f>0.5*worksheet!$F$62/100*worksheet!$F$29*S37*P37*R37/1000*worksheet!$J$11</f>
        <v>#VALUE!</v>
      </c>
    </row>
    <row r="38" spans="1:20">
      <c r="A38" s="44">
        <v>1.8</v>
      </c>
      <c r="B38" s="61">
        <f t="shared" si="6"/>
        <v>41.941176470588246</v>
      </c>
      <c r="C38" s="44">
        <v>0.24</v>
      </c>
      <c r="D38" s="44">
        <f>1000*worksheet!$F$42*C38/worksheet!$F$52/worksheet!$F$8</f>
        <v>2.4167832167832164</v>
      </c>
      <c r="E38" s="44">
        <f>worksheet!$F$8*D38/worksheet!$F$29/worksheet!$F$11</f>
        <v>5.425431711145996</v>
      </c>
      <c r="F38" s="44" t="str">
        <f t="shared" si="0"/>
        <v>DCM</v>
      </c>
      <c r="G38" s="44">
        <f>IF(F38="DCM",1000/(1000/B38+worksheet!$F$43/2/1000),1000/(D38+E38+worksheet!$F$43/2/1000))</f>
        <v>40.579611164230762</v>
      </c>
      <c r="H38" s="44">
        <f>C38/worksheet!$F$52</f>
        <v>1.2307692307692306</v>
      </c>
      <c r="I38" s="44">
        <f>0.5*worksheet!$F$62/100*worksheet!$F$29*H38*E38*G38/1000*worksheet!$F$11</f>
        <v>12.613583846097265</v>
      </c>
      <c r="J38" s="46">
        <f t="shared" si="1"/>
        <v>40.579611164230762</v>
      </c>
      <c r="L38" s="44">
        <v>1.8</v>
      </c>
      <c r="M38" s="44" t="e">
        <f t="shared" si="7"/>
        <v>#VALUE!</v>
      </c>
      <c r="N38" s="44">
        <v>0.24</v>
      </c>
      <c r="O38" s="44">
        <f>1000*worksheet!$F$42*N38/worksheet!$F$52/worksheet!$F$8</f>
        <v>2.4167832167832164</v>
      </c>
      <c r="P38" s="44">
        <f>worksheet!$F$8*O38/worksheet!$F$29/worksheet!$J$11</f>
        <v>5.0637362637362626</v>
      </c>
      <c r="Q38" s="44" t="e">
        <f t="shared" si="5"/>
        <v>#VALUE!</v>
      </c>
      <c r="R38" s="44" t="e">
        <f>IF(Q38="DCM",1000/(1000/M38+worksheet!$F$43/1000),1000/(O38+P38+worksheet!$F$43/1000))</f>
        <v>#VALUE!</v>
      </c>
      <c r="S38" s="44">
        <f>N38/worksheet!$F$52</f>
        <v>1.2307692307692306</v>
      </c>
      <c r="T38" s="44" t="e">
        <f>0.5*worksheet!$F$62/100*worksheet!$F$29*S38*P38*R38/1000*worksheet!$J$11</f>
        <v>#VALUE!</v>
      </c>
    </row>
    <row r="39" spans="1:20">
      <c r="A39" s="44">
        <v>1.82</v>
      </c>
      <c r="B39" s="61">
        <f t="shared" si="6"/>
        <v>43.635294117647071</v>
      </c>
      <c r="C39" s="44">
        <v>0.24</v>
      </c>
      <c r="D39" s="44">
        <f>1000*worksheet!$F$42*C39/worksheet!$F$52/worksheet!$F$8</f>
        <v>2.4167832167832164</v>
      </c>
      <c r="E39" s="44">
        <f>worksheet!$F$8*D39/worksheet!$F$29/worksheet!$F$11</f>
        <v>5.425431711145996</v>
      </c>
      <c r="F39" s="44" t="str">
        <f t="shared" si="0"/>
        <v>DCM</v>
      </c>
      <c r="G39" s="44">
        <f>IF(F39="DCM",1000/(1000/B39+worksheet!$F$43/2/1000),1000/(D39+E39+worksheet!$F$43/2/1000))</f>
        <v>42.163442737747715</v>
      </c>
      <c r="H39" s="44">
        <f>C39/worksheet!$F$52</f>
        <v>1.2307692307692306</v>
      </c>
      <c r="I39" s="44">
        <f>0.5*worksheet!$F$62/100*worksheet!$F$29*H39*E39*G39/1000*worksheet!$F$11</f>
        <v>13.105894929853088</v>
      </c>
      <c r="J39" s="46">
        <f t="shared" si="1"/>
        <v>42.163442737747715</v>
      </c>
      <c r="L39" s="44">
        <v>1.82</v>
      </c>
      <c r="M39" s="44" t="e">
        <f t="shared" si="7"/>
        <v>#VALUE!</v>
      </c>
      <c r="N39" s="44">
        <v>0.24</v>
      </c>
      <c r="O39" s="44">
        <f>1000*worksheet!$F$42*N39/worksheet!$F$52/worksheet!$F$8</f>
        <v>2.4167832167832164</v>
      </c>
      <c r="P39" s="44">
        <f>worksheet!$F$8*O39/worksheet!$F$29/worksheet!$J$11</f>
        <v>5.0637362637362626</v>
      </c>
      <c r="Q39" s="44" t="e">
        <f t="shared" si="5"/>
        <v>#VALUE!</v>
      </c>
      <c r="R39" s="44" t="e">
        <f>IF(Q39="DCM",1000/(1000/M39+worksheet!$F$43/1000),1000/(O39+P39+worksheet!$F$43/1000))</f>
        <v>#VALUE!</v>
      </c>
      <c r="S39" s="44">
        <f>N39/worksheet!$F$52</f>
        <v>1.2307692307692306</v>
      </c>
      <c r="T39" s="44" t="e">
        <f>0.5*worksheet!$F$62/100*worksheet!$F$29*S39*P39*R39/1000*worksheet!$J$11</f>
        <v>#VALUE!</v>
      </c>
    </row>
    <row r="40" spans="1:20">
      <c r="A40" s="44">
        <v>1.84</v>
      </c>
      <c r="B40" s="61">
        <f t="shared" si="6"/>
        <v>45.329411764705895</v>
      </c>
      <c r="C40" s="44">
        <v>0.24</v>
      </c>
      <c r="D40" s="44">
        <f>1000*worksheet!$F$42*C40/worksheet!$F$52/worksheet!$F$8</f>
        <v>2.4167832167832164</v>
      </c>
      <c r="E40" s="44">
        <f>worksheet!$F$8*D40/worksheet!$F$29/worksheet!$F$11</f>
        <v>5.425431711145996</v>
      </c>
      <c r="F40" s="44" t="str">
        <f t="shared" si="0"/>
        <v>DCM</v>
      </c>
      <c r="G40" s="44">
        <f>IF(F40="DCM",1000/(1000/B40+worksheet!$F$43/2/1000),1000/(D40+E40+worksheet!$F$43/2/1000))</f>
        <v>43.743131431477806</v>
      </c>
      <c r="H40" s="44">
        <f>C40/worksheet!$F$52</f>
        <v>1.2307692307692306</v>
      </c>
      <c r="I40" s="44">
        <f>0.5*worksheet!$F$62/100*worksheet!$F$29*H40*E40*G40/1000*worksheet!$F$11</f>
        <v>13.596918259486662</v>
      </c>
      <c r="J40" s="46">
        <f t="shared" si="1"/>
        <v>43.743131431477806</v>
      </c>
      <c r="L40" s="44">
        <v>1.84</v>
      </c>
      <c r="M40" s="44" t="e">
        <f t="shared" si="7"/>
        <v>#VALUE!</v>
      </c>
      <c r="N40" s="44">
        <v>0.24</v>
      </c>
      <c r="O40" s="44">
        <f>1000*worksheet!$F$42*N40/worksheet!$F$52/worksheet!$F$8</f>
        <v>2.4167832167832164</v>
      </c>
      <c r="P40" s="44">
        <f>worksheet!$F$8*O40/worksheet!$F$29/worksheet!$J$11</f>
        <v>5.0637362637362626</v>
      </c>
      <c r="Q40" s="44" t="e">
        <f t="shared" si="5"/>
        <v>#VALUE!</v>
      </c>
      <c r="R40" s="44" t="e">
        <f>IF(Q40="DCM",1000/(1000/M40+worksheet!$F$43/1000),1000/(O40+P40+worksheet!$F$43/1000))</f>
        <v>#VALUE!</v>
      </c>
      <c r="S40" s="44">
        <f>N40/worksheet!$F$52</f>
        <v>1.2307692307692306</v>
      </c>
      <c r="T40" s="44" t="e">
        <f>0.5*worksheet!$F$62/100*worksheet!$F$29*S40*P40*R40/1000*worksheet!$J$11</f>
        <v>#VALUE!</v>
      </c>
    </row>
    <row r="41" spans="1:20">
      <c r="A41" s="44">
        <v>1.86</v>
      </c>
      <c r="B41" s="61">
        <f t="shared" si="6"/>
        <v>47.02352941176472</v>
      </c>
      <c r="C41" s="44">
        <v>0.24</v>
      </c>
      <c r="D41" s="44">
        <f>1000*worksheet!$F$42*C41/worksheet!$F$52/worksheet!$F$8</f>
        <v>2.4167832167832164</v>
      </c>
      <c r="E41" s="44">
        <f>worksheet!$F$8*D41/worksheet!$F$29/worksheet!$F$11</f>
        <v>5.425431711145996</v>
      </c>
      <c r="F41" s="44" t="str">
        <f t="shared" si="0"/>
        <v>DCM</v>
      </c>
      <c r="G41" s="44">
        <f>IF(F41="DCM",1000/(1000/B41+worksheet!$F$43/2/1000),1000/(D41+E41+worksheet!$F$43/2/1000))</f>
        <v>45.318693479187658</v>
      </c>
      <c r="H41" s="44">
        <f>C41/worksheet!$F$52</f>
        <v>1.2307692307692306</v>
      </c>
      <c r="I41" s="44">
        <f>0.5*worksheet!$F$62/100*worksheet!$F$29*H41*E41*G41/1000*worksheet!$F$11</f>
        <v>14.086658881029004</v>
      </c>
      <c r="J41" s="46">
        <f t="shared" si="1"/>
        <v>45.318693479187658</v>
      </c>
      <c r="L41" s="44">
        <v>1.86</v>
      </c>
      <c r="M41" s="44" t="e">
        <f t="shared" si="7"/>
        <v>#VALUE!</v>
      </c>
      <c r="N41" s="44">
        <v>0.24</v>
      </c>
      <c r="O41" s="44">
        <f>1000*worksheet!$F$42*N41/worksheet!$F$52/worksheet!$F$8</f>
        <v>2.4167832167832164</v>
      </c>
      <c r="P41" s="44">
        <f>worksheet!$F$8*O41/worksheet!$F$29/worksheet!$J$11</f>
        <v>5.0637362637362626</v>
      </c>
      <c r="Q41" s="44" t="e">
        <f t="shared" si="5"/>
        <v>#VALUE!</v>
      </c>
      <c r="R41" s="44" t="e">
        <f>IF(Q41="DCM",1000/(1000/M41+worksheet!$F$43/1000),1000/(O41+P41+worksheet!$F$43/1000))</f>
        <v>#VALUE!</v>
      </c>
      <c r="S41" s="44">
        <f>N41/worksheet!$F$52</f>
        <v>1.2307692307692306</v>
      </c>
      <c r="T41" s="44" t="e">
        <f>0.5*worksheet!$F$62/100*worksheet!$F$29*S41*P41*R41/1000*worksheet!$J$11</f>
        <v>#VALUE!</v>
      </c>
    </row>
    <row r="42" spans="1:20">
      <c r="A42" s="44">
        <v>1.88</v>
      </c>
      <c r="B42" s="61">
        <f t="shared" si="6"/>
        <v>48.717647058823545</v>
      </c>
      <c r="C42" s="44">
        <v>0.24</v>
      </c>
      <c r="D42" s="44">
        <f>1000*worksheet!$F$42*C42/worksheet!$F$52/worksheet!$F$8</f>
        <v>2.4167832167832164</v>
      </c>
      <c r="E42" s="44">
        <f>worksheet!$F$8*D42/worksheet!$F$29/worksheet!$F$11</f>
        <v>5.425431711145996</v>
      </c>
      <c r="F42" s="44" t="str">
        <f t="shared" si="0"/>
        <v>DCM</v>
      </c>
      <c r="G42" s="44">
        <f>IF(F42="DCM",1000/(1000/B42+worksheet!$F$43/2/1000),1000/(D42+E42+worksheet!$F$43/2/1000))</f>
        <v>46.890145029939049</v>
      </c>
      <c r="H42" s="44">
        <f>C42/worksheet!$F$52</f>
        <v>1.2307692307692306</v>
      </c>
      <c r="I42" s="44">
        <f>0.5*worksheet!$F$62/100*worksheet!$F$29*H42*E42*G42/1000*worksheet!$F$11</f>
        <v>14.575121814181854</v>
      </c>
      <c r="J42" s="46">
        <f t="shared" si="1"/>
        <v>46.890145029939049</v>
      </c>
      <c r="L42" s="44">
        <v>1.88</v>
      </c>
      <c r="M42" s="44" t="e">
        <f t="shared" si="7"/>
        <v>#VALUE!</v>
      </c>
      <c r="N42" s="44">
        <v>0.24</v>
      </c>
      <c r="O42" s="44">
        <f>1000*worksheet!$F$42*N42/worksheet!$F$52/worksheet!$F$8</f>
        <v>2.4167832167832164</v>
      </c>
      <c r="P42" s="44">
        <f>worksheet!$F$8*O42/worksheet!$F$29/worksheet!$J$11</f>
        <v>5.0637362637362626</v>
      </c>
      <c r="Q42" s="44" t="e">
        <f t="shared" si="5"/>
        <v>#VALUE!</v>
      </c>
      <c r="R42" s="44" t="e">
        <f>IF(Q42="DCM",1000/(1000/M42+worksheet!$F$43/1000),1000/(O42+P42+worksheet!$F$43/1000))</f>
        <v>#VALUE!</v>
      </c>
      <c r="S42" s="44">
        <f>N42/worksheet!$F$52</f>
        <v>1.2307692307692306</v>
      </c>
      <c r="T42" s="44" t="e">
        <f>0.5*worksheet!$F$62/100*worksheet!$F$29*S42*P42*R42/1000*worksheet!$J$11</f>
        <v>#VALUE!</v>
      </c>
    </row>
    <row r="43" spans="1:20">
      <c r="A43" s="44">
        <v>1.9</v>
      </c>
      <c r="B43" s="61">
        <f t="shared" si="6"/>
        <v>50.411764705882369</v>
      </c>
      <c r="C43" s="44">
        <v>0.24</v>
      </c>
      <c r="D43" s="44">
        <f>1000*worksheet!$F$42*C43/worksheet!$F$52/worksheet!$F$8</f>
        <v>2.4167832167832164</v>
      </c>
      <c r="E43" s="44">
        <f>worksheet!$F$8*D43/worksheet!$F$29/worksheet!$F$11</f>
        <v>5.425431711145996</v>
      </c>
      <c r="F43" s="44" t="str">
        <f t="shared" si="0"/>
        <v>DCM</v>
      </c>
      <c r="G43" s="44">
        <f>IF(F43="DCM",1000/(1000/B43+worksheet!$F$43/2/1000),1000/(D43+E43+worksheet!$F$43/2/1000))</f>
        <v>48.457502148640714</v>
      </c>
      <c r="H43" s="44">
        <f>C43/worksheet!$F$52</f>
        <v>1.2307692307692306</v>
      </c>
      <c r="I43" s="44">
        <f>0.5*worksheet!$F$62/100*worksheet!$F$29*H43*E43*G43/1000*worksheet!$F$11</f>
        <v>15.062312052489196</v>
      </c>
      <c r="J43" s="46">
        <f t="shared" si="1"/>
        <v>48.457502148640714</v>
      </c>
      <c r="L43" s="44">
        <v>1.9</v>
      </c>
      <c r="M43" s="44" t="e">
        <f t="shared" si="7"/>
        <v>#VALUE!</v>
      </c>
      <c r="N43" s="44">
        <v>0.24</v>
      </c>
      <c r="O43" s="44">
        <f>1000*worksheet!$F$42*N43/worksheet!$F$52/worksheet!$F$8</f>
        <v>2.4167832167832164</v>
      </c>
      <c r="P43" s="44">
        <f>worksheet!$F$8*O43/worksheet!$F$29/worksheet!$J$11</f>
        <v>5.0637362637362626</v>
      </c>
      <c r="Q43" s="44" t="e">
        <f t="shared" si="5"/>
        <v>#VALUE!</v>
      </c>
      <c r="R43" s="44" t="e">
        <f>IF(Q43="DCM",1000/(1000/M43+worksheet!$F$43/1000),1000/(O43+P43+worksheet!$F$43/1000))</f>
        <v>#VALUE!</v>
      </c>
      <c r="S43" s="44">
        <f>N43/worksheet!$F$52</f>
        <v>1.2307692307692306</v>
      </c>
      <c r="T43" s="44" t="e">
        <f>0.5*worksheet!$F$62/100*worksheet!$F$29*S43*P43*R43/1000*worksheet!$J$11</f>
        <v>#VALUE!</v>
      </c>
    </row>
    <row r="44" spans="1:20">
      <c r="A44" s="44">
        <v>1.92</v>
      </c>
      <c r="B44" s="61">
        <f t="shared" si="6"/>
        <v>52.105882352941194</v>
      </c>
      <c r="C44" s="44">
        <v>0.24</v>
      </c>
      <c r="D44" s="44">
        <f>1000*worksheet!$F$42*C44/worksheet!$F$52/worksheet!$F$8</f>
        <v>2.4167832167832164</v>
      </c>
      <c r="E44" s="44">
        <f>worksheet!$F$8*D44/worksheet!$F$29/worksheet!$F$11</f>
        <v>5.425431711145996</v>
      </c>
      <c r="F44" s="44" t="str">
        <f t="shared" si="0"/>
        <v>DCM</v>
      </c>
      <c r="G44" s="44">
        <f>IF(F44="DCM",1000/(1000/B44+worksheet!$F$43/2/1000),1000/(D44+E44+worksheet!$F$43/2/1000))</f>
        <v>50.020780816595753</v>
      </c>
      <c r="H44" s="44">
        <f>C44/worksheet!$F$52</f>
        <v>1.2307692307692306</v>
      </c>
      <c r="I44" s="44">
        <f>0.5*worksheet!$F$62/100*worksheet!$F$29*H44*E44*G44/1000*worksheet!$F$11</f>
        <v>15.548234563507418</v>
      </c>
      <c r="J44" s="46">
        <f t="shared" si="1"/>
        <v>50.020780816595753</v>
      </c>
      <c r="L44" s="44">
        <v>1.92</v>
      </c>
      <c r="M44" s="44" t="e">
        <f t="shared" si="7"/>
        <v>#VALUE!</v>
      </c>
      <c r="N44" s="44">
        <v>0.24</v>
      </c>
      <c r="O44" s="44">
        <f>1000*worksheet!$F$42*N44/worksheet!$F$52/worksheet!$F$8</f>
        <v>2.4167832167832164</v>
      </c>
      <c r="P44" s="44">
        <f>worksheet!$F$8*O44/worksheet!$F$29/worksheet!$J$11</f>
        <v>5.0637362637362626</v>
      </c>
      <c r="Q44" s="44" t="e">
        <f t="shared" si="5"/>
        <v>#VALUE!</v>
      </c>
      <c r="R44" s="44" t="e">
        <f>IF(Q44="DCM",1000/(1000/M44+worksheet!$F$43/1000),1000/(O44+P44+worksheet!$F$43/1000))</f>
        <v>#VALUE!</v>
      </c>
      <c r="S44" s="44">
        <f>N44/worksheet!$F$52</f>
        <v>1.2307692307692306</v>
      </c>
      <c r="T44" s="44" t="e">
        <f>0.5*worksheet!$F$62/100*worksheet!$F$29*S44*P44*R44/1000*worksheet!$J$11</f>
        <v>#VALUE!</v>
      </c>
    </row>
    <row r="45" spans="1:20">
      <c r="A45" s="44">
        <v>1.94</v>
      </c>
      <c r="B45" s="61">
        <f t="shared" si="6"/>
        <v>53.800000000000018</v>
      </c>
      <c r="C45" s="44">
        <v>0.24</v>
      </c>
      <c r="D45" s="44">
        <f>1000*worksheet!$F$42*C45/worksheet!$F$52/worksheet!$F$8</f>
        <v>2.4167832167832164</v>
      </c>
      <c r="E45" s="44">
        <f>worksheet!$F$8*D45/worksheet!$F$29/worksheet!$F$11</f>
        <v>5.425431711145996</v>
      </c>
      <c r="F45" s="44" t="str">
        <f t="shared" si="0"/>
        <v>DCM</v>
      </c>
      <c r="G45" s="44">
        <f>IF(F45="DCM",1000/(1000/B45+worksheet!$F$43/2/1000),1000/(D45+E45+worksheet!$F$43/2/1000))</f>
        <v>51.579996932044807</v>
      </c>
      <c r="H45" s="44">
        <f>C45/worksheet!$F$52</f>
        <v>1.2307692307692306</v>
      </c>
      <c r="I45" s="44">
        <f>0.5*worksheet!$F$62/100*worksheet!$F$29*H45*E45*G45/1000*worksheet!$F$11</f>
        <v>16.032894288974148</v>
      </c>
      <c r="J45" s="46">
        <f t="shared" si="1"/>
        <v>51.579996932044807</v>
      </c>
      <c r="L45" s="44">
        <v>1.94</v>
      </c>
      <c r="M45" s="44" t="e">
        <f t="shared" si="7"/>
        <v>#VALUE!</v>
      </c>
      <c r="N45" s="44">
        <v>0.24</v>
      </c>
      <c r="O45" s="44">
        <f>1000*worksheet!$F$42*N45/worksheet!$F$52/worksheet!$F$8</f>
        <v>2.4167832167832164</v>
      </c>
      <c r="P45" s="44">
        <f>worksheet!$F$8*O45/worksheet!$F$29/worksheet!$J$11</f>
        <v>5.0637362637362626</v>
      </c>
      <c r="Q45" s="44" t="e">
        <f t="shared" si="5"/>
        <v>#VALUE!</v>
      </c>
      <c r="R45" s="44" t="e">
        <f>IF(Q45="DCM",1000/(1000/M45+worksheet!$F$43/1000),1000/(O45+P45+worksheet!$F$43/1000))</f>
        <v>#VALUE!</v>
      </c>
      <c r="S45" s="44">
        <f>N45/worksheet!$F$52</f>
        <v>1.2307692307692306</v>
      </c>
      <c r="T45" s="44" t="e">
        <f>0.5*worksheet!$F$62/100*worksheet!$F$29*S45*P45*R45/1000*worksheet!$J$11</f>
        <v>#VALUE!</v>
      </c>
    </row>
    <row r="46" spans="1:20">
      <c r="A46" s="44">
        <v>1.96</v>
      </c>
      <c r="B46" s="61">
        <f t="shared" si="6"/>
        <v>55.494117647058843</v>
      </c>
      <c r="C46" s="44">
        <v>0.24</v>
      </c>
      <c r="D46" s="44">
        <f>1000*worksheet!$F$42*C46/worksheet!$F$52/worksheet!$F$8</f>
        <v>2.4167832167832164</v>
      </c>
      <c r="E46" s="44">
        <f>worksheet!$F$8*D46/worksheet!$F$29/worksheet!$F$11</f>
        <v>5.425431711145996</v>
      </c>
      <c r="F46" s="44" t="str">
        <f t="shared" si="0"/>
        <v>DCM</v>
      </c>
      <c r="G46" s="44">
        <f>IF(F46="DCM",1000/(1000/B46+worksheet!$F$43/2/1000),1000/(D46+E46+worksheet!$F$43/2/1000))</f>
        <v>53.135166310704996</v>
      </c>
      <c r="H46" s="44">
        <f>C46/worksheet!$F$52</f>
        <v>1.2307692307692306</v>
      </c>
      <c r="I46" s="44">
        <f>0.5*worksheet!$F$62/100*worksheet!$F$29*H46*E46*G46/1000*worksheet!$F$11</f>
        <v>16.516296144975772</v>
      </c>
      <c r="J46" s="46">
        <f t="shared" si="1"/>
        <v>53.135166310704996</v>
      </c>
      <c r="L46" s="44">
        <v>1.96</v>
      </c>
      <c r="M46" s="44" t="e">
        <f t="shared" si="7"/>
        <v>#VALUE!</v>
      </c>
      <c r="N46" s="44">
        <v>0.24</v>
      </c>
      <c r="O46" s="44">
        <f>1000*worksheet!$F$42*N46/worksheet!$F$52/worksheet!$F$8</f>
        <v>2.4167832167832164</v>
      </c>
      <c r="P46" s="44">
        <f>worksheet!$F$8*O46/worksheet!$F$29/worksheet!$J$11</f>
        <v>5.0637362637362626</v>
      </c>
      <c r="Q46" s="44" t="e">
        <f t="shared" si="5"/>
        <v>#VALUE!</v>
      </c>
      <c r="R46" s="44" t="e">
        <f>IF(Q46="DCM",1000/(1000/M46+worksheet!$F$43/1000),1000/(O46+P46+worksheet!$F$43/1000))</f>
        <v>#VALUE!</v>
      </c>
      <c r="S46" s="44">
        <f>N46/worksheet!$F$52</f>
        <v>1.2307692307692306</v>
      </c>
      <c r="T46" s="44" t="e">
        <f>0.5*worksheet!$F$62/100*worksheet!$F$29*S46*P46*R46/1000*worksheet!$J$11</f>
        <v>#VALUE!</v>
      </c>
    </row>
    <row r="47" spans="1:20">
      <c r="A47" s="44">
        <v>1.98</v>
      </c>
      <c r="B47" s="61">
        <f t="shared" si="6"/>
        <v>57.188235294117668</v>
      </c>
      <c r="C47" s="44">
        <v>0.24</v>
      </c>
      <c r="D47" s="44">
        <f>1000*worksheet!$F$42*C47/worksheet!$F$52/worksheet!$F$8</f>
        <v>2.4167832167832164</v>
      </c>
      <c r="E47" s="44">
        <f>worksheet!$F$8*D47/worksheet!$F$29/worksheet!$F$11</f>
        <v>5.425431711145996</v>
      </c>
      <c r="F47" s="44" t="str">
        <f t="shared" si="0"/>
        <v>DCM</v>
      </c>
      <c r="G47" s="44">
        <f>IF(F47="DCM",1000/(1000/B47+worksheet!$F$43/2/1000),1000/(D47+E47+worksheet!$F$43/2/1000))</f>
        <v>54.686304686304702</v>
      </c>
      <c r="H47" s="44">
        <f>C47/worksheet!$F$52</f>
        <v>1.2307692307692306</v>
      </c>
      <c r="I47" s="44">
        <f>0.5*worksheet!$F$62/100*worksheet!$F$29*H47*E47*G47/1000*worksheet!$F$11</f>
        <v>16.998445022113657</v>
      </c>
      <c r="J47" s="46">
        <f t="shared" si="1"/>
        <v>54.686304686304702</v>
      </c>
      <c r="L47" s="44">
        <v>1.98</v>
      </c>
      <c r="M47" s="44" t="e">
        <f t="shared" si="7"/>
        <v>#VALUE!</v>
      </c>
      <c r="N47" s="44">
        <v>0.24</v>
      </c>
      <c r="O47" s="44">
        <f>1000*worksheet!$F$42*N47/worksheet!$F$52/worksheet!$F$8</f>
        <v>2.4167832167832164</v>
      </c>
      <c r="P47" s="44">
        <f>worksheet!$F$8*O47/worksheet!$F$29/worksheet!$J$11</f>
        <v>5.0637362637362626</v>
      </c>
      <c r="Q47" s="44" t="e">
        <f t="shared" si="5"/>
        <v>#VALUE!</v>
      </c>
      <c r="R47" s="44" t="e">
        <f>IF(Q47="DCM",1000/(1000/M47+worksheet!$F$43/1000),1000/(O47+P47+worksheet!$F$43/1000))</f>
        <v>#VALUE!</v>
      </c>
      <c r="S47" s="44">
        <f>N47/worksheet!$F$52</f>
        <v>1.2307692307692306</v>
      </c>
      <c r="T47" s="44" t="e">
        <f>0.5*worksheet!$F$62/100*worksheet!$F$29*S47*P47*R47/1000*worksheet!$J$11</f>
        <v>#VALUE!</v>
      </c>
    </row>
    <row r="48" spans="1:20">
      <c r="A48" s="44">
        <v>2</v>
      </c>
      <c r="B48" s="61">
        <f t="shared" si="6"/>
        <v>58.882352941176492</v>
      </c>
      <c r="C48" s="44">
        <v>0.24</v>
      </c>
      <c r="D48" s="44">
        <f>1000*worksheet!$F$42*C48/worksheet!$F$52/worksheet!$F$8</f>
        <v>2.4167832167832164</v>
      </c>
      <c r="E48" s="44">
        <f>worksheet!$F$8*D48/worksheet!$F$29/worksheet!$F$11</f>
        <v>5.425431711145996</v>
      </c>
      <c r="F48" s="44" t="str">
        <f t="shared" si="0"/>
        <v>DCM</v>
      </c>
      <c r="G48" s="44">
        <f>IF(F48="DCM",1000/(1000/B48+worksheet!$F$43/2/1000),1000/(D48+E48+worksheet!$F$43/2/1000))</f>
        <v>56.233427711114125</v>
      </c>
      <c r="H48" s="44">
        <f>C48/worksheet!$F$52</f>
        <v>1.2307692307692306</v>
      </c>
      <c r="I48" s="44">
        <f>0.5*worksheet!$F$62/100*worksheet!$F$29*H48*E48*G48/1000*worksheet!$F$11</f>
        <v>17.479345785669093</v>
      </c>
      <c r="J48" s="46">
        <f t="shared" si="1"/>
        <v>56.233427711114125</v>
      </c>
      <c r="L48" s="44">
        <v>2</v>
      </c>
      <c r="M48" s="44" t="e">
        <f t="shared" si="7"/>
        <v>#VALUE!</v>
      </c>
      <c r="N48" s="44">
        <v>0.24</v>
      </c>
      <c r="O48" s="44">
        <f>1000*worksheet!$F$42*N48/worksheet!$F$52/worksheet!$F$8</f>
        <v>2.4167832167832164</v>
      </c>
      <c r="P48" s="44">
        <f>worksheet!$F$8*O48/worksheet!$F$29/worksheet!$J$11</f>
        <v>5.0637362637362626</v>
      </c>
      <c r="Q48" s="44" t="e">
        <f t="shared" si="5"/>
        <v>#VALUE!</v>
      </c>
      <c r="R48" s="44" t="e">
        <f>IF(Q48="DCM",1000/(1000/M48+worksheet!$F$43/1000),1000/(O48+P48+worksheet!$F$43/1000))</f>
        <v>#VALUE!</v>
      </c>
      <c r="S48" s="44">
        <f>N48/worksheet!$F$52</f>
        <v>1.2307692307692306</v>
      </c>
      <c r="T48" s="44" t="e">
        <f>0.5*worksheet!$F$62/100*worksheet!$F$29*S48*P48*R48/1000*worksheet!$J$11</f>
        <v>#VALUE!</v>
      </c>
    </row>
    <row r="49" spans="1:20">
      <c r="A49" s="44">
        <v>2.02</v>
      </c>
      <c r="B49" s="61">
        <f t="shared" si="6"/>
        <v>60.576470588235317</v>
      </c>
      <c r="C49" s="44">
        <v>0.24</v>
      </c>
      <c r="D49" s="44">
        <f>1000*worksheet!$F$42*C49/worksheet!$F$52/worksheet!$F$8</f>
        <v>2.4167832167832164</v>
      </c>
      <c r="E49" s="44">
        <f>worksheet!$F$8*D49/worksheet!$F$29/worksheet!$F$11</f>
        <v>5.425431711145996</v>
      </c>
      <c r="F49" s="44" t="str">
        <f t="shared" si="0"/>
        <v>DCM</v>
      </c>
      <c r="G49" s="44">
        <f>IF(F49="DCM",1000/(1000/B49+worksheet!$F$43/2/1000),1000/(D49+E49+worksheet!$F$43/2/1000))</f>
        <v>57.776550956471802</v>
      </c>
      <c r="H49" s="44">
        <f>C49/worksheet!$F$52</f>
        <v>1.2307692307692306</v>
      </c>
      <c r="I49" s="44">
        <f>0.5*worksheet!$F$62/100*worksheet!$F$29*H49*E49*G49/1000*worksheet!$F$11</f>
        <v>17.959003275766925</v>
      </c>
      <c r="J49" s="46">
        <f t="shared" si="1"/>
        <v>57.776550956471802</v>
      </c>
      <c r="L49" s="44">
        <v>2.02</v>
      </c>
      <c r="M49" s="44" t="e">
        <f t="shared" si="7"/>
        <v>#VALUE!</v>
      </c>
      <c r="N49" s="44">
        <v>0.24</v>
      </c>
      <c r="O49" s="44">
        <f>1000*worksheet!$F$42*N49/worksheet!$F$52/worksheet!$F$8</f>
        <v>2.4167832167832164</v>
      </c>
      <c r="P49" s="44">
        <f>worksheet!$F$8*O49/worksheet!$F$29/worksheet!$J$11</f>
        <v>5.0637362637362626</v>
      </c>
      <c r="Q49" s="44" t="e">
        <f t="shared" si="5"/>
        <v>#VALUE!</v>
      </c>
      <c r="R49" s="44" t="e">
        <f>IF(Q49="DCM",1000/(1000/M49+worksheet!$F$43/1000),1000/(O49+P49+worksheet!$F$43/1000))</f>
        <v>#VALUE!</v>
      </c>
      <c r="S49" s="44">
        <f>N49/worksheet!$F$52</f>
        <v>1.2307692307692306</v>
      </c>
      <c r="T49" s="44" t="e">
        <f>0.5*worksheet!$F$62/100*worksheet!$F$29*S49*P49*R49/1000*worksheet!$J$11</f>
        <v>#VALUE!</v>
      </c>
    </row>
    <row r="50" spans="1:20">
      <c r="A50" s="44">
        <v>2.04</v>
      </c>
      <c r="B50" s="61">
        <f t="shared" si="6"/>
        <v>62.270588235294142</v>
      </c>
      <c r="C50" s="44">
        <v>0.24</v>
      </c>
      <c r="D50" s="44">
        <f>1000*worksheet!$F$42*C50/worksheet!$F$52/worksheet!$F$8</f>
        <v>2.4167832167832164</v>
      </c>
      <c r="E50" s="44">
        <f>worksheet!$F$8*D50/worksheet!$F$29/worksheet!$F$11</f>
        <v>5.425431711145996</v>
      </c>
      <c r="F50" s="44" t="str">
        <f t="shared" si="0"/>
        <v>DCM</v>
      </c>
      <c r="G50" s="44">
        <f>IF(F50="DCM",1000/(1000/B50+worksheet!$F$43/2/1000),1000/(D50+E50+worksheet!$F$43/2/1000))</f>
        <v>59.31568991330699</v>
      </c>
      <c r="H50" s="44">
        <f>C50/worksheet!$F$52</f>
        <v>1.2307692307692306</v>
      </c>
      <c r="I50" s="44">
        <f>0.5*worksheet!$F$62/100*worksheet!$F$29*H50*E50*G50/1000*worksheet!$F$11</f>
        <v>18.437422307537933</v>
      </c>
      <c r="J50" s="46">
        <f t="shared" si="1"/>
        <v>59.31568991330699</v>
      </c>
      <c r="L50" s="44">
        <v>2.04</v>
      </c>
      <c r="M50" s="44" t="e">
        <f t="shared" si="7"/>
        <v>#VALUE!</v>
      </c>
      <c r="N50" s="44">
        <v>0.24</v>
      </c>
      <c r="O50" s="44">
        <f>1000*worksheet!$F$42*N50/worksheet!$F$52/worksheet!$F$8</f>
        <v>2.4167832167832164</v>
      </c>
      <c r="P50" s="44">
        <f>worksheet!$F$8*O50/worksheet!$F$29/worksheet!$J$11</f>
        <v>5.0637362637362626</v>
      </c>
      <c r="Q50" s="44" t="e">
        <f t="shared" si="5"/>
        <v>#VALUE!</v>
      </c>
      <c r="R50" s="44" t="e">
        <f>IF(Q50="DCM",1000/(1000/M50+worksheet!$F$43/1000),1000/(O50+P50+worksheet!$F$43/1000))</f>
        <v>#VALUE!</v>
      </c>
      <c r="S50" s="44">
        <f>N50/worksheet!$F$52</f>
        <v>1.2307692307692306</v>
      </c>
      <c r="T50" s="44" t="e">
        <f>0.5*worksheet!$F$62/100*worksheet!$F$29*S50*P50*R50/1000*worksheet!$J$11</f>
        <v>#VALUE!</v>
      </c>
    </row>
    <row r="51" spans="1:20">
      <c r="A51" s="44">
        <v>2.06</v>
      </c>
      <c r="B51" s="61">
        <f t="shared" si="6"/>
        <v>63.964705882352966</v>
      </c>
      <c r="C51" s="44">
        <v>0.24</v>
      </c>
      <c r="D51" s="44">
        <f>1000*worksheet!$F$42*C51/worksheet!$F$52/worksheet!$F$8</f>
        <v>2.4167832167832164</v>
      </c>
      <c r="E51" s="44">
        <f>worksheet!$F$8*D51/worksheet!$F$29/worksheet!$F$11</f>
        <v>5.425431711145996</v>
      </c>
      <c r="F51" s="44" t="str">
        <f t="shared" si="0"/>
        <v>DCM</v>
      </c>
      <c r="G51" s="44">
        <f>IF(F51="DCM",1000/(1000/B51+worksheet!$F$43/2/1000),1000/(D51+E51+worksheet!$F$43/2/1000))</f>
        <v>60.850859992658073</v>
      </c>
      <c r="H51" s="44">
        <f>C51/worksheet!$F$52</f>
        <v>1.2307692307692306</v>
      </c>
      <c r="I51" s="44">
        <f>0.5*worksheet!$F$62/100*worksheet!$F$29*H51*E51*G51/1000*worksheet!$F$11</f>
        <v>18.914607671279992</v>
      </c>
      <c r="J51" s="46">
        <f t="shared" si="1"/>
        <v>60.850859992658073</v>
      </c>
      <c r="L51" s="44">
        <v>2.06</v>
      </c>
      <c r="M51" s="44" t="e">
        <f t="shared" si="7"/>
        <v>#VALUE!</v>
      </c>
      <c r="N51" s="44">
        <v>0.24</v>
      </c>
      <c r="O51" s="44">
        <f>1000*worksheet!$F$42*N51/worksheet!$F$52/worksheet!$F$8</f>
        <v>2.4167832167832164</v>
      </c>
      <c r="P51" s="44">
        <f>worksheet!$F$8*O51/worksheet!$F$29/worksheet!$J$11</f>
        <v>5.0637362637362626</v>
      </c>
      <c r="Q51" s="44" t="e">
        <f t="shared" si="5"/>
        <v>#VALUE!</v>
      </c>
      <c r="R51" s="44" t="e">
        <f>IF(Q51="DCM",1000/(1000/M51+worksheet!$F$43/1000),1000/(O51+P51+worksheet!$F$43/1000))</f>
        <v>#VALUE!</v>
      </c>
      <c r="S51" s="44">
        <f>N51/worksheet!$F$52</f>
        <v>1.2307692307692306</v>
      </c>
      <c r="T51" s="44" t="e">
        <f>0.5*worksheet!$F$62/100*worksheet!$F$29*S51*P51*R51/1000*worksheet!$J$11</f>
        <v>#VALUE!</v>
      </c>
    </row>
    <row r="52" spans="1:20">
      <c r="A52" s="44">
        <v>2.08</v>
      </c>
      <c r="B52" s="61">
        <f t="shared" si="6"/>
        <v>65.658823529411791</v>
      </c>
      <c r="C52" s="44">
        <v>0.24</v>
      </c>
      <c r="D52" s="44">
        <f>1000*worksheet!$F$42*C52/worksheet!$F$52/worksheet!$F$8</f>
        <v>2.4167832167832164</v>
      </c>
      <c r="E52" s="44">
        <f>worksheet!$F$8*D52/worksheet!$F$29/worksheet!$F$11</f>
        <v>5.425431711145996</v>
      </c>
      <c r="F52" s="44" t="str">
        <f t="shared" si="0"/>
        <v>DCM</v>
      </c>
      <c r="G52" s="44">
        <f>IF(F52="DCM",1000/(1000/B52+worksheet!$F$43/2/1000),1000/(D52+E52+worksheet!$F$43/2/1000))</f>
        <v>62.382076526186857</v>
      </c>
      <c r="H52" s="44">
        <f>C52/worksheet!$F$52</f>
        <v>1.2307692307692306</v>
      </c>
      <c r="I52" s="44">
        <f>0.5*worksheet!$F$62/100*worksheet!$F$29*H52*E52*G52/1000*worksheet!$F$11</f>
        <v>19.390564132617904</v>
      </c>
      <c r="J52" s="46">
        <f t="shared" si="1"/>
        <v>62.382076526186857</v>
      </c>
      <c r="L52" s="44">
        <v>2.08</v>
      </c>
      <c r="M52" s="44" t="e">
        <f t="shared" si="7"/>
        <v>#VALUE!</v>
      </c>
      <c r="N52" s="44">
        <v>0.24</v>
      </c>
      <c r="O52" s="44">
        <f>1000*worksheet!$F$42*N52/worksheet!$F$52/worksheet!$F$8</f>
        <v>2.4167832167832164</v>
      </c>
      <c r="P52" s="44">
        <f>worksheet!$F$8*O52/worksheet!$F$29/worksheet!$J$11</f>
        <v>5.0637362637362626</v>
      </c>
      <c r="Q52" s="44" t="e">
        <f t="shared" si="5"/>
        <v>#VALUE!</v>
      </c>
      <c r="R52" s="44" t="e">
        <f>IF(Q52="DCM",1000/(1000/M52+worksheet!$F$43/1000),1000/(O52+P52+worksheet!$F$43/1000))</f>
        <v>#VALUE!</v>
      </c>
      <c r="S52" s="44">
        <f>N52/worksheet!$F$52</f>
        <v>1.2307692307692306</v>
      </c>
      <c r="T52" s="44" t="e">
        <f>0.5*worksheet!$F$62/100*worksheet!$F$29*S52*P52*R52/1000*worksheet!$J$11</f>
        <v>#VALUE!</v>
      </c>
    </row>
    <row r="53" spans="1:20">
      <c r="A53" s="44">
        <v>2.1</v>
      </c>
      <c r="B53" s="61">
        <f>IF(worksheet!$F$10="Rapid charger",IF(worksheet!$F$11&gt;20,40+(worksheet!$F$17-40)*(worksheet!$F$11-3)/(worksheet!$F$11-3),40+(worksheet!$F$17-40)*(worksheet!$F$11-3)/(worksheet!$F$14-3)),IF(worksheet!$F$18&gt;20,40+(worksheet!$F$17-40)*(worksheet!$F$18-3)/(worksheet!$F$14-3),40+(worksheet!$F$17-40)*(worksheet!$F$18-3)/(worksheet!$F$14-3)))</f>
        <v>67.35294117647058</v>
      </c>
      <c r="C53" s="44">
        <v>0.24</v>
      </c>
      <c r="D53" s="44">
        <f>1000*worksheet!$F$42*C53/worksheet!$F$52/worksheet!$F$8</f>
        <v>2.4167832167832164</v>
      </c>
      <c r="E53" s="44">
        <f>worksheet!$F$8*D53/worksheet!$F$29/worksheet!$F$11</f>
        <v>5.425431711145996</v>
      </c>
      <c r="F53" s="44" t="str">
        <f t="shared" si="0"/>
        <v>DCM</v>
      </c>
      <c r="G53" s="44">
        <f>IF(F53="DCM",1000/(1000/B53+worksheet!$F$43/2/1000),1000/(D53+E53+worksheet!$F$43/2/1000))</f>
        <v>63.909354766688985</v>
      </c>
      <c r="H53" s="44">
        <f>C53/worksheet!$F$52</f>
        <v>1.2307692307692306</v>
      </c>
      <c r="I53" s="44">
        <f>0.5*worksheet!$F$62/100*worksheet!$F$29*H53*E53*G53/1000*worksheet!$F$11</f>
        <v>19.865296432662078</v>
      </c>
      <c r="J53" s="67">
        <f>worksheet!$F$46*1000-worksheet!$F$43</f>
        <v>-800</v>
      </c>
      <c r="L53" s="44">
        <v>2.1</v>
      </c>
      <c r="M53" s="44" t="str">
        <f>IF(worksheet!$F$10="Rapid charger",40+(worksheet!$F$17-40)*(worksheet!$J$11-3)/(worksheet!$F$14-3)," ")</f>
        <v xml:space="preserve"> </v>
      </c>
      <c r="N53" s="44">
        <v>0.24</v>
      </c>
      <c r="O53" s="44">
        <f>1000*worksheet!$F$42*N53/worksheet!$F$52/worksheet!$F$8</f>
        <v>2.4167832167832164</v>
      </c>
      <c r="P53" s="44">
        <f>worksheet!$F$8*O53/worksheet!$F$29/worksheet!$J$11</f>
        <v>5.0637362637362626</v>
      </c>
      <c r="Q53" s="44" t="e">
        <f t="shared" si="5"/>
        <v>#VALUE!</v>
      </c>
      <c r="R53" s="44" t="e">
        <f>IF(Q53="DCM",1000/(1000/M53+worksheet!$F$43/1000),1000/(O53+P53+worksheet!$F$43/1000))</f>
        <v>#VALUE!</v>
      </c>
      <c r="S53" s="44">
        <f>N53/worksheet!$F$52</f>
        <v>1.2307692307692306</v>
      </c>
      <c r="T53" s="44" t="e">
        <f>0.5*worksheet!$F$62/100*worksheet!$F$29*S53*P53*R53/1000*worksheet!$J$11</f>
        <v>#VALUE!</v>
      </c>
    </row>
    <row r="54" spans="1:20">
      <c r="A54" s="44">
        <v>2.12</v>
      </c>
      <c r="B54" s="61">
        <f>IF(worksheet!$F$10="Rapid charger",IF(worksheet!$F$11&gt;20,40+(worksheet!$F$17-40)*(worksheet!$F$11-3)/(worksheet!$F$11-3),40+(worksheet!$F$17-40)*(worksheet!$F$11-3)/(worksheet!$F$14-3)),IF(worksheet!$F$18&gt;20,40+(worksheet!$F$17-40)*(worksheet!$F$18-3)/(worksheet!$F$14-3),40+(worksheet!$F$17-40)*(worksheet!$F$18-3)/(worksheet!$F$14-3)))</f>
        <v>67.35294117647058</v>
      </c>
      <c r="C54" s="60">
        <f>C53+($C$113-$C$53)/60</f>
        <v>0.24483333333333332</v>
      </c>
      <c r="D54" s="44">
        <f>1000*worksheet!$F$42*C54/worksheet!$F$52/worksheet!$F$8</f>
        <v>2.4654545454545453</v>
      </c>
      <c r="E54" s="44">
        <f>worksheet!$F$8*D54/worksheet!$F$29/worksheet!$F$11</f>
        <v>5.5346938775510202</v>
      </c>
      <c r="F54" s="44" t="str">
        <f t="shared" si="0"/>
        <v>DCM</v>
      </c>
      <c r="G54" s="44">
        <f>IF(F54="DCM",1000/(1000/B54+worksheet!$F$43/2/1000),1000/(D54+E54+worksheet!$F$43/2/1000))</f>
        <v>63.909354766688985</v>
      </c>
      <c r="H54" s="44">
        <f>C54/worksheet!$F$52</f>
        <v>1.2555555555555555</v>
      </c>
      <c r="I54" s="44">
        <f>0.5*worksheet!$F$62/100*worksheet!$F$29*H54*E54*G54/1000*worksheet!$F$11</f>
        <v>20.673483292401574</v>
      </c>
      <c r="J54" s="46">
        <f t="shared" si="1"/>
        <v>63.909354766688985</v>
      </c>
      <c r="L54" s="44">
        <v>2.12</v>
      </c>
      <c r="M54" s="44" t="str">
        <f>IF(worksheet!$F$10="Rapid charger",40+(worksheet!$F$17-40)*(worksheet!$J$11-3)/(worksheet!$F$14-3)," ")</f>
        <v xml:space="preserve"> </v>
      </c>
      <c r="N54" s="44">
        <f>N53+($N$113-$N$53)/60</f>
        <v>0.24433333333333332</v>
      </c>
      <c r="O54" s="44">
        <f>1000*worksheet!$F$42*N54/worksheet!$F$52/worksheet!$F$8</f>
        <v>2.4604195804195803</v>
      </c>
      <c r="P54" s="44">
        <f>worksheet!$F$8*O54/worksheet!$F$29/worksheet!$J$11</f>
        <v>5.1551648351648351</v>
      </c>
      <c r="Q54" s="44" t="e">
        <f t="shared" si="5"/>
        <v>#VALUE!</v>
      </c>
      <c r="R54" s="44" t="e">
        <f>IF(Q54="DCM",1000/(1000/M54+worksheet!$F$43/1000),1000/(O54+P54+worksheet!$F$43/1000))</f>
        <v>#VALUE!</v>
      </c>
      <c r="S54" s="44">
        <f>N54/worksheet!$F$52</f>
        <v>1.252991452991453</v>
      </c>
      <c r="T54" s="44" t="e">
        <f>0.5*worksheet!$F$62/100*worksheet!$F$29*S54*P54*R54/1000*worksheet!$J$11</f>
        <v>#VALUE!</v>
      </c>
    </row>
    <row r="55" spans="1:20">
      <c r="A55" s="44">
        <v>2.14</v>
      </c>
      <c r="B55" s="61">
        <f>IF(worksheet!$F$10="Rapid charger",IF(worksheet!$F$11&gt;20,40+(worksheet!$F$17-40)*(worksheet!$F$11-3)/(worksheet!$F$11-3),40+(worksheet!$F$17-40)*(worksheet!$F$11-3)/(worksheet!$F$14-3)),IF(worksheet!$F$18&gt;20,40+(worksheet!$F$17-40)*(worksheet!$F$18-3)/(worksheet!$F$14-3),40+(worksheet!$F$17-40)*(worksheet!$F$18-3)/(worksheet!$F$14-3)))</f>
        <v>67.35294117647058</v>
      </c>
      <c r="C55" s="60">
        <f t="shared" ref="C55:C112" si="8">C54+($C$113-$C$53)/60</f>
        <v>0.24966666666666665</v>
      </c>
      <c r="D55" s="44">
        <f>1000*worksheet!$F$42*C55/worksheet!$F$52/worksheet!$F$8</f>
        <v>2.5141258741258738</v>
      </c>
      <c r="E55" s="44">
        <f>worksheet!$F$8*D55/worksheet!$F$29/worksheet!$F$11</f>
        <v>5.6439560439560434</v>
      </c>
      <c r="F55" s="44" t="str">
        <f t="shared" si="0"/>
        <v>DCM</v>
      </c>
      <c r="G55" s="44">
        <f>IF(F55="DCM",1000/(1000/B55+worksheet!$F$43/2/1000),1000/(D55+E55+worksheet!$F$43/2/1000))</f>
        <v>63.909354766688985</v>
      </c>
      <c r="H55" s="44">
        <f>C55/worksheet!$F$52</f>
        <v>1.2803418803418802</v>
      </c>
      <c r="I55" s="44">
        <f>0.5*worksheet!$F$62/100*worksheet!$F$29*H55*E55*G55/1000*worksheet!$F$11</f>
        <v>21.497783881211149</v>
      </c>
      <c r="J55" s="46">
        <f t="shared" si="1"/>
        <v>63.909354766688985</v>
      </c>
      <c r="L55" s="44">
        <v>2.14</v>
      </c>
      <c r="M55" s="44" t="str">
        <f>IF(worksheet!$F$10="Rapid charger",40+(worksheet!$F$17-40)*(worksheet!$J$11-3)/(worksheet!$F$14-3)," ")</f>
        <v xml:space="preserve"> </v>
      </c>
      <c r="N55" s="44">
        <f t="shared" ref="N55:N98" si="9">N54+($N$113-$N$53)/60</f>
        <v>0.24866666666666665</v>
      </c>
      <c r="O55" s="44">
        <f>1000*worksheet!$F$42*N55/worksheet!$F$52/worksheet!$F$8</f>
        <v>2.5040559440559438</v>
      </c>
      <c r="P55" s="44">
        <f>worksheet!$F$8*O55/worksheet!$F$29/worksheet!$J$11</f>
        <v>5.2465934065934059</v>
      </c>
      <c r="Q55" s="44" t="e">
        <f t="shared" si="5"/>
        <v>#VALUE!</v>
      </c>
      <c r="R55" s="44" t="e">
        <f>IF(Q55="DCM",1000/(1000/M55+worksheet!$F$43/1000),1000/(O55+P55+worksheet!$F$43/1000))</f>
        <v>#VALUE!</v>
      </c>
      <c r="S55" s="44">
        <f>N55/worksheet!$F$52</f>
        <v>1.2752136752136751</v>
      </c>
      <c r="T55" s="44" t="e">
        <f>0.5*worksheet!$F$62/100*worksheet!$F$29*S55*P55*R55/1000*worksheet!$J$11</f>
        <v>#VALUE!</v>
      </c>
    </row>
    <row r="56" spans="1:20">
      <c r="A56" s="44">
        <v>2.16</v>
      </c>
      <c r="B56" s="61">
        <f>IF(worksheet!$F$10="Rapid charger",IF(worksheet!$F$11&gt;20,40+(worksheet!$F$17-40)*(worksheet!$F$11-3)/(worksheet!$F$11-3),40+(worksheet!$F$17-40)*(worksheet!$F$11-3)/(worksheet!$F$14-3)),IF(worksheet!$F$18&gt;20,40+(worksheet!$F$17-40)*(worksheet!$F$18-3)/(worksheet!$F$14-3),40+(worksheet!$F$17-40)*(worksheet!$F$18-3)/(worksheet!$F$14-3)))</f>
        <v>67.35294117647058</v>
      </c>
      <c r="C56" s="60">
        <f t="shared" si="8"/>
        <v>0.2545</v>
      </c>
      <c r="D56" s="44">
        <f>1000*worksheet!$F$42*C56/worksheet!$F$52/worksheet!$F$8</f>
        <v>2.5627972027972028</v>
      </c>
      <c r="E56" s="44">
        <f>worksheet!$F$8*D56/worksheet!$F$29/worksheet!$F$11</f>
        <v>5.7532182103610676</v>
      </c>
      <c r="F56" s="44" t="str">
        <f t="shared" si="0"/>
        <v>DCM</v>
      </c>
      <c r="G56" s="44">
        <f>IF(F56="DCM",1000/(1000/B56+worksheet!$F$43/2/1000),1000/(D56+E56+worksheet!$F$43/2/1000))</f>
        <v>63.909354766688985</v>
      </c>
      <c r="H56" s="44">
        <f>C56/worksheet!$F$52</f>
        <v>1.3051282051282052</v>
      </c>
      <c r="I56" s="44">
        <f>0.5*worksheet!$F$62/100*worksheet!$F$29*H56*E56*G56/1000*worksheet!$F$11</f>
        <v>22.338198199090822</v>
      </c>
      <c r="J56" s="46">
        <f t="shared" si="1"/>
        <v>63.909354766688985</v>
      </c>
      <c r="L56" s="44">
        <v>2.16</v>
      </c>
      <c r="M56" s="44" t="str">
        <f>IF(worksheet!$F$10="Rapid charger",40+(worksheet!$F$17-40)*(worksheet!$J$11-3)/(worksheet!$F$14-3)," ")</f>
        <v xml:space="preserve"> </v>
      </c>
      <c r="N56" s="44">
        <f t="shared" si="9"/>
        <v>0.253</v>
      </c>
      <c r="O56" s="44">
        <f>1000*worksheet!$F$42*N56/worksheet!$F$52/worksheet!$F$8</f>
        <v>2.5476923076923077</v>
      </c>
      <c r="P56" s="44">
        <f>worksheet!$F$8*O56/worksheet!$F$29/worksheet!$J$11</f>
        <v>5.3380219780219784</v>
      </c>
      <c r="Q56" s="44" t="e">
        <f t="shared" si="5"/>
        <v>#VALUE!</v>
      </c>
      <c r="R56" s="44" t="e">
        <f>IF(Q56="DCM",1000/(1000/M56+worksheet!$F$43/1000),1000/(O56+P56+worksheet!$F$43/1000))</f>
        <v>#VALUE!</v>
      </c>
      <c r="S56" s="44">
        <f>N56/worksheet!$F$52</f>
        <v>1.2974358974358975</v>
      </c>
      <c r="T56" s="44" t="e">
        <f>0.5*worksheet!$F$62/100*worksheet!$F$29*S56*P56*R56/1000*worksheet!$J$11</f>
        <v>#VALUE!</v>
      </c>
    </row>
    <row r="57" spans="1:20">
      <c r="A57" s="44">
        <v>2.1800000000000002</v>
      </c>
      <c r="B57" s="61">
        <f>IF(worksheet!$F$10="Rapid charger",IF(worksheet!$F$11&gt;20,40+(worksheet!$F$17-40)*(worksheet!$F$11-3)/(worksheet!$F$11-3),40+(worksheet!$F$17-40)*(worksheet!$F$11-3)/(worksheet!$F$14-3)),IF(worksheet!$F$18&gt;20,40+(worksheet!$F$17-40)*(worksheet!$F$18-3)/(worksheet!$F$14-3),40+(worksheet!$F$17-40)*(worksheet!$F$18-3)/(worksheet!$F$14-3)))</f>
        <v>67.35294117647058</v>
      </c>
      <c r="C57" s="60">
        <f t="shared" si="8"/>
        <v>0.25933333333333336</v>
      </c>
      <c r="D57" s="44">
        <f>1000*worksheet!$F$42*C57/worksheet!$F$52/worksheet!$F$8</f>
        <v>2.6114685314685313</v>
      </c>
      <c r="E57" s="44">
        <f>worksheet!$F$8*D57/worksheet!$F$29/worksheet!$F$11</f>
        <v>5.8624803767660918</v>
      </c>
      <c r="F57" s="44" t="str">
        <f t="shared" si="0"/>
        <v>DCM</v>
      </c>
      <c r="G57" s="44">
        <f>IF(F57="DCM",1000/(1000/B57+worksheet!$F$43/2/1000),1000/(D57+E57+worksheet!$F$43/2/1000))</f>
        <v>63.909354766688985</v>
      </c>
      <c r="H57" s="44">
        <f>C57/worksheet!$F$52</f>
        <v>1.3299145299145301</v>
      </c>
      <c r="I57" s="44">
        <f>0.5*worksheet!$F$62/100*worksheet!$F$29*H57*E57*G57/1000*worksheet!$F$11</f>
        <v>23.194726246040585</v>
      </c>
      <c r="J57" s="46">
        <f t="shared" si="1"/>
        <v>63.909354766688985</v>
      </c>
      <c r="L57" s="44">
        <v>2.1800000000000002</v>
      </c>
      <c r="M57" s="44" t="str">
        <f>IF(worksheet!$F$10="Rapid charger",40+(worksheet!$F$17-40)*(worksheet!$J$11-3)/(worksheet!$F$14-3)," ")</f>
        <v xml:space="preserve"> </v>
      </c>
      <c r="N57" s="44">
        <f t="shared" si="9"/>
        <v>0.25733333333333336</v>
      </c>
      <c r="O57" s="44">
        <f>1000*worksheet!$F$42*N57/worksheet!$F$52/worksheet!$F$8</f>
        <v>2.5913286713286716</v>
      </c>
      <c r="P57" s="44">
        <f>worksheet!$F$8*O57/worksheet!$F$29/worksheet!$J$11</f>
        <v>5.4294505494505501</v>
      </c>
      <c r="Q57" s="44" t="e">
        <f t="shared" si="5"/>
        <v>#VALUE!</v>
      </c>
      <c r="R57" s="44" t="e">
        <f>IF(Q57="DCM",1000/(1000/M57+worksheet!$F$43/1000),1000/(O57+P57+worksheet!$F$43/1000))</f>
        <v>#VALUE!</v>
      </c>
      <c r="S57" s="44">
        <f>N57/worksheet!$F$52</f>
        <v>1.3196581196581196</v>
      </c>
      <c r="T57" s="44" t="e">
        <f>0.5*worksheet!$F$62/100*worksheet!$F$29*S57*P57*R57/1000*worksheet!$J$11</f>
        <v>#VALUE!</v>
      </c>
    </row>
    <row r="58" spans="1:20">
      <c r="A58" s="44">
        <v>2.2000000000000002</v>
      </c>
      <c r="B58" s="61">
        <f>IF(worksheet!$F$10="Rapid charger",IF(worksheet!$F$11&gt;20,40+(worksheet!$F$17-40)*(worksheet!$F$11-3)/(worksheet!$F$11-3),40+(worksheet!$F$17-40)*(worksheet!$F$11-3)/(worksheet!$F$14-3)),IF(worksheet!$F$18&gt;20,40+(worksheet!$F$17-40)*(worksheet!$F$18-3)/(worksheet!$F$14-3),40+(worksheet!$F$17-40)*(worksheet!$F$18-3)/(worksheet!$F$14-3)))</f>
        <v>67.35294117647058</v>
      </c>
      <c r="C58" s="60">
        <f t="shared" si="8"/>
        <v>0.26416666666666672</v>
      </c>
      <c r="D58" s="44">
        <f>1000*worksheet!$F$42*C58/worksheet!$F$52/worksheet!$F$8</f>
        <v>2.6601398601398603</v>
      </c>
      <c r="E58" s="44">
        <f>worksheet!$F$8*D58/worksheet!$F$29/worksheet!$F$11</f>
        <v>5.9717425431711151</v>
      </c>
      <c r="F58" s="44" t="str">
        <f t="shared" si="0"/>
        <v>DCM</v>
      </c>
      <c r="G58" s="44">
        <f>IF(F58="DCM",1000/(1000/B58+worksheet!$F$43/2/1000),1000/(D58+E58+worksheet!$F$43/2/1000))</f>
        <v>63.909354766688985</v>
      </c>
      <c r="H58" s="44">
        <f>C58/worksheet!$F$52</f>
        <v>1.354700854700855</v>
      </c>
      <c r="I58" s="44">
        <f>0.5*worksheet!$F$62/100*worksheet!$F$29*H58*E58*G58/1000*worksheet!$F$11</f>
        <v>24.067368022060435</v>
      </c>
      <c r="J58" s="46">
        <f t="shared" si="1"/>
        <v>63.909354766688985</v>
      </c>
      <c r="L58" s="44">
        <v>2.2000000000000002</v>
      </c>
      <c r="M58" s="44" t="str">
        <f>IF(worksheet!$F$10="Rapid charger",40+(worksheet!$F$17-40)*(worksheet!$J$11-3)/(worksheet!$F$14-3)," ")</f>
        <v xml:space="preserve"> </v>
      </c>
      <c r="N58" s="44">
        <f t="shared" si="9"/>
        <v>0.26166666666666671</v>
      </c>
      <c r="O58" s="44">
        <f>1000*worksheet!$F$42*N58/worksheet!$F$52/worksheet!$F$8</f>
        <v>2.6349650349650351</v>
      </c>
      <c r="P58" s="44">
        <f>worksheet!$F$8*O58/worksheet!$F$29/worksheet!$J$11</f>
        <v>5.5208791208791208</v>
      </c>
      <c r="Q58" s="44" t="e">
        <f t="shared" si="5"/>
        <v>#VALUE!</v>
      </c>
      <c r="R58" s="44" t="e">
        <f>IF(Q58="DCM",1000/(1000/M58+worksheet!$F$43/1000),1000/(O58+P58+worksheet!$F$43/1000))</f>
        <v>#VALUE!</v>
      </c>
      <c r="S58" s="44">
        <f>N58/worksheet!$F$52</f>
        <v>1.341880341880342</v>
      </c>
      <c r="T58" s="44" t="e">
        <f>0.5*worksheet!$F$62/100*worksheet!$F$29*S58*P58*R58/1000*worksheet!$J$11</f>
        <v>#VALUE!</v>
      </c>
    </row>
    <row r="59" spans="1:20">
      <c r="A59" s="44">
        <v>2.2200000000000002</v>
      </c>
      <c r="B59" s="61">
        <f>IF(worksheet!$F$10="Rapid charger",IF(worksheet!$F$11&gt;20,40+(worksheet!$F$17-40)*(worksheet!$F$11-3)/(worksheet!$F$11-3),40+(worksheet!$F$17-40)*(worksheet!$F$11-3)/(worksheet!$F$14-3)),IF(worksheet!$F$18&gt;20,40+(worksheet!$F$17-40)*(worksheet!$F$18-3)/(worksheet!$F$14-3),40+(worksheet!$F$17-40)*(worksheet!$F$18-3)/(worksheet!$F$14-3)))</f>
        <v>67.35294117647058</v>
      </c>
      <c r="C59" s="60">
        <f t="shared" si="8"/>
        <v>0.26900000000000007</v>
      </c>
      <c r="D59" s="44">
        <f>1000*worksheet!$F$42*C59/worksheet!$F$52/worksheet!$F$8</f>
        <v>2.7088111888111892</v>
      </c>
      <c r="E59" s="44">
        <f>worksheet!$F$8*D59/worksheet!$F$29/worksheet!$F$11</f>
        <v>6.0810047095761393</v>
      </c>
      <c r="F59" s="44" t="str">
        <f t="shared" si="0"/>
        <v>DCM</v>
      </c>
      <c r="G59" s="44">
        <f>IF(F59="DCM",1000/(1000/B59+worksheet!$F$43/2/1000),1000/(D59+E59+worksheet!$F$43/2/1000))</f>
        <v>63.909354766688985</v>
      </c>
      <c r="H59" s="44">
        <f>C59/worksheet!$F$52</f>
        <v>1.3794871794871799</v>
      </c>
      <c r="I59" s="44">
        <f>0.5*worksheet!$F$62/100*worksheet!$F$29*H59*E59*G59/1000*worksheet!$F$11</f>
        <v>24.956123527150375</v>
      </c>
      <c r="J59" s="46">
        <f t="shared" si="1"/>
        <v>63.909354766688985</v>
      </c>
      <c r="L59" s="44">
        <v>2.2200000000000002</v>
      </c>
      <c r="M59" s="44" t="str">
        <f>IF(worksheet!$F$10="Rapid charger",40+(worksheet!$F$17-40)*(worksheet!$J$11-3)/(worksheet!$F$14-3)," ")</f>
        <v xml:space="preserve"> </v>
      </c>
      <c r="N59" s="44">
        <f t="shared" si="9"/>
        <v>0.26600000000000007</v>
      </c>
      <c r="O59" s="44">
        <f>1000*worksheet!$F$42*N59/worksheet!$F$52/worksheet!$F$8</f>
        <v>2.6786013986013995</v>
      </c>
      <c r="P59" s="44">
        <f>worksheet!$F$8*O59/worksheet!$F$29/worksheet!$J$11</f>
        <v>5.6123076923076942</v>
      </c>
      <c r="Q59" s="44" t="e">
        <f t="shared" si="5"/>
        <v>#VALUE!</v>
      </c>
      <c r="R59" s="44" t="e">
        <f>IF(Q59="DCM",1000/(1000/M59+worksheet!$F$43/1000),1000/(O59+P59+worksheet!$F$43/1000))</f>
        <v>#VALUE!</v>
      </c>
      <c r="S59" s="44">
        <f>N59/worksheet!$F$52</f>
        <v>1.3641025641025644</v>
      </c>
      <c r="T59" s="44" t="e">
        <f>0.5*worksheet!$F$62/100*worksheet!$F$29*S59*P59*R59/1000*worksheet!$J$11</f>
        <v>#VALUE!</v>
      </c>
    </row>
    <row r="60" spans="1:20">
      <c r="A60" s="44">
        <v>2.2400000000000002</v>
      </c>
      <c r="B60" s="61">
        <f>IF(worksheet!$F$10="Rapid charger",IF(worksheet!$F$11&gt;20,40+(worksheet!$F$17-40)*(worksheet!$F$11-3)/(worksheet!$F$11-3),40+(worksheet!$F$17-40)*(worksheet!$F$11-3)/(worksheet!$F$14-3)),IF(worksheet!$F$18&gt;20,40+(worksheet!$F$17-40)*(worksheet!$F$18-3)/(worksheet!$F$14-3),40+(worksheet!$F$17-40)*(worksheet!$F$18-3)/(worksheet!$F$14-3)))</f>
        <v>67.35294117647058</v>
      </c>
      <c r="C60" s="60">
        <f t="shared" si="8"/>
        <v>0.27383333333333343</v>
      </c>
      <c r="D60" s="44">
        <f>1000*worksheet!$F$42*C60/worksheet!$F$52/worksheet!$F$8</f>
        <v>2.7574825174825182</v>
      </c>
      <c r="E60" s="44">
        <f>worksheet!$F$8*D60/worksheet!$F$29/worksheet!$F$11</f>
        <v>6.1902668759811634</v>
      </c>
      <c r="F60" s="44" t="str">
        <f t="shared" si="0"/>
        <v>DCM</v>
      </c>
      <c r="G60" s="44">
        <f>IF(F60="DCM",1000/(1000/B60+worksheet!$F$43/2/1000),1000/(D60+E60+worksheet!$F$43/2/1000))</f>
        <v>63.909354766688985</v>
      </c>
      <c r="H60" s="44">
        <f>C60/worksheet!$F$52</f>
        <v>1.4042735042735046</v>
      </c>
      <c r="I60" s="44">
        <f>0.5*worksheet!$F$62/100*worksheet!$F$29*H60*E60*G60/1000*worksheet!$F$11</f>
        <v>25.860992761310403</v>
      </c>
      <c r="J60" s="46">
        <f t="shared" si="1"/>
        <v>63.909354766688985</v>
      </c>
      <c r="L60" s="44">
        <v>2.2400000000000002</v>
      </c>
      <c r="M60" s="44" t="str">
        <f>IF(worksheet!$F$10="Rapid charger",40+(worksheet!$F$17-40)*(worksheet!$J$11-3)/(worksheet!$F$14-3)," ")</f>
        <v xml:space="preserve"> </v>
      </c>
      <c r="N60" s="44">
        <f t="shared" si="9"/>
        <v>0.27033333333333343</v>
      </c>
      <c r="O60" s="44">
        <f>1000*worksheet!$F$42*N60/worksheet!$F$52/worksheet!$F$8</f>
        <v>2.7222377622377634</v>
      </c>
      <c r="P60" s="44">
        <f>worksheet!$F$8*O60/worksheet!$F$29/worksheet!$J$11</f>
        <v>5.703736263736265</v>
      </c>
      <c r="Q60" s="44" t="e">
        <f t="shared" si="5"/>
        <v>#VALUE!</v>
      </c>
      <c r="R60" s="44" t="e">
        <f>IF(Q60="DCM",1000/(1000/M60+worksheet!$F$43/1000),1000/(O60+P60+worksheet!$F$43/1000))</f>
        <v>#VALUE!</v>
      </c>
      <c r="S60" s="44">
        <f>N60/worksheet!$F$52</f>
        <v>1.3863247863247867</v>
      </c>
      <c r="T60" s="44" t="e">
        <f>0.5*worksheet!$F$62/100*worksheet!$F$29*S60*P60*R60/1000*worksheet!$J$11</f>
        <v>#VALUE!</v>
      </c>
    </row>
    <row r="61" spans="1:20">
      <c r="A61" s="44">
        <v>2.2599999999999998</v>
      </c>
      <c r="B61" s="61">
        <f>IF(worksheet!$F$10="Rapid charger",IF(worksheet!$F$11&gt;20,40+(worksheet!$F$17-40)*(worksheet!$F$11-3)/(worksheet!$F$11-3),40+(worksheet!$F$17-40)*(worksheet!$F$11-3)/(worksheet!$F$14-3)),IF(worksheet!$F$18&gt;20,40+(worksheet!$F$17-40)*(worksheet!$F$18-3)/(worksheet!$F$14-3),40+(worksheet!$F$17-40)*(worksheet!$F$18-3)/(worksheet!$F$14-3)))</f>
        <v>67.35294117647058</v>
      </c>
      <c r="C61" s="60">
        <f t="shared" si="8"/>
        <v>0.27866666666666678</v>
      </c>
      <c r="D61" s="44">
        <f>1000*worksheet!$F$42*C61/worksheet!$F$52/worksheet!$F$8</f>
        <v>2.8061538461538476</v>
      </c>
      <c r="E61" s="44">
        <f>worksheet!$F$8*D61/worksheet!$F$29/worksheet!$F$11</f>
        <v>6.2995290423861885</v>
      </c>
      <c r="F61" s="44" t="str">
        <f t="shared" si="0"/>
        <v>DCM</v>
      </c>
      <c r="G61" s="44">
        <f>IF(F61="DCM",1000/(1000/B61+worksheet!$F$43/2/1000),1000/(D61+E61+worksheet!$F$43/2/1000))</f>
        <v>63.909354766688985</v>
      </c>
      <c r="H61" s="44">
        <f>C61/worksheet!$F$52</f>
        <v>1.4290598290598295</v>
      </c>
      <c r="I61" s="44">
        <f>0.5*worksheet!$F$62/100*worksheet!$F$29*H61*E61*G61/1000*worksheet!$F$11</f>
        <v>26.781975724540533</v>
      </c>
      <c r="J61" s="46">
        <f t="shared" si="1"/>
        <v>63.909354766688985</v>
      </c>
      <c r="L61" s="44">
        <v>2.2599999999999998</v>
      </c>
      <c r="M61" s="44" t="str">
        <f>IF(worksheet!$F$10="Rapid charger",40+(worksheet!$F$17-40)*(worksheet!$J$11-3)/(worksheet!$F$14-3)," ")</f>
        <v xml:space="preserve"> </v>
      </c>
      <c r="N61" s="44">
        <f t="shared" si="9"/>
        <v>0.27466666666666678</v>
      </c>
      <c r="O61" s="44">
        <f>1000*worksheet!$F$42*N61/worksheet!$F$52/worksheet!$F$8</f>
        <v>2.7658741258741268</v>
      </c>
      <c r="P61" s="44">
        <f>worksheet!$F$8*O61/worksheet!$F$29/worksheet!$J$11</f>
        <v>5.7951648351648375</v>
      </c>
      <c r="Q61" s="44" t="e">
        <f t="shared" si="5"/>
        <v>#VALUE!</v>
      </c>
      <c r="R61" s="44" t="e">
        <f>IF(Q61="DCM",1000/(1000/M61+worksheet!$F$43/1000),1000/(O61+P61+worksheet!$F$43/1000))</f>
        <v>#VALUE!</v>
      </c>
      <c r="S61" s="44">
        <f>N61/worksheet!$F$52</f>
        <v>1.4085470085470091</v>
      </c>
      <c r="T61" s="44" t="e">
        <f>0.5*worksheet!$F$62/100*worksheet!$F$29*S61*P61*R61/1000*worksheet!$J$11</f>
        <v>#VALUE!</v>
      </c>
    </row>
    <row r="62" spans="1:20">
      <c r="A62" s="44">
        <v>2.2799999999999998</v>
      </c>
      <c r="B62" s="61">
        <f>IF(worksheet!$F$10="Rapid charger",IF(worksheet!$F$11&gt;20,40+(worksheet!$F$17-40)*(worksheet!$F$11-3)/(worksheet!$F$11-3),40+(worksheet!$F$17-40)*(worksheet!$F$11-3)/(worksheet!$F$14-3)),IF(worksheet!$F$18&gt;20,40+(worksheet!$F$17-40)*(worksheet!$F$18-3)/(worksheet!$F$14-3),40+(worksheet!$F$17-40)*(worksheet!$F$18-3)/(worksheet!$F$14-3)))</f>
        <v>67.35294117647058</v>
      </c>
      <c r="C62" s="60">
        <f t="shared" si="8"/>
        <v>0.28350000000000014</v>
      </c>
      <c r="D62" s="44">
        <f>1000*worksheet!$F$42*C62/worksheet!$F$52/worksheet!$F$8</f>
        <v>2.8548251748251765</v>
      </c>
      <c r="E62" s="44">
        <f>worksheet!$F$8*D62/worksheet!$F$29/worksheet!$F$11</f>
        <v>6.4087912087912127</v>
      </c>
      <c r="F62" s="44" t="str">
        <f t="shared" si="0"/>
        <v>DCM</v>
      </c>
      <c r="G62" s="44">
        <f>IF(F62="DCM",1000/(1000/B62+worksheet!$F$43/2/1000),1000/(D62+E62+worksheet!$F$43/2/1000))</f>
        <v>63.909354766688985</v>
      </c>
      <c r="H62" s="44">
        <f>C62/worksheet!$F$52</f>
        <v>1.4538461538461545</v>
      </c>
      <c r="I62" s="44">
        <f>0.5*worksheet!$F$62/100*worksheet!$F$29*H62*E62*G62/1000*worksheet!$F$11</f>
        <v>27.719072416840742</v>
      </c>
      <c r="J62" s="46">
        <f t="shared" si="1"/>
        <v>63.909354766688985</v>
      </c>
      <c r="L62" s="44">
        <v>2.2799999999999998</v>
      </c>
      <c r="M62" s="44" t="str">
        <f>IF(worksheet!$F$10="Rapid charger",40+(worksheet!$F$17-40)*(worksheet!$J$11-3)/(worksheet!$F$14-3)," ")</f>
        <v xml:space="preserve"> </v>
      </c>
      <c r="N62" s="44">
        <f t="shared" si="9"/>
        <v>0.27900000000000014</v>
      </c>
      <c r="O62" s="44">
        <f>1000*worksheet!$F$42*N62/worksheet!$F$52/worksheet!$F$8</f>
        <v>2.8095104895104908</v>
      </c>
      <c r="P62" s="44">
        <f>worksheet!$F$8*O62/worksheet!$F$29/worksheet!$J$11</f>
        <v>5.8865934065934091</v>
      </c>
      <c r="Q62" s="44" t="e">
        <f t="shared" si="5"/>
        <v>#VALUE!</v>
      </c>
      <c r="R62" s="44" t="e">
        <f>IF(Q62="DCM",1000/(1000/M62+worksheet!$F$43/1000),1000/(O62+P62+worksheet!$F$43/1000))</f>
        <v>#VALUE!</v>
      </c>
      <c r="S62" s="44">
        <f>N62/worksheet!$F$52</f>
        <v>1.4307692307692315</v>
      </c>
      <c r="T62" s="44" t="e">
        <f>0.5*worksheet!$F$62/100*worksheet!$F$29*S62*P62*R62/1000*worksheet!$J$11</f>
        <v>#VALUE!</v>
      </c>
    </row>
    <row r="63" spans="1:20">
      <c r="A63" s="44">
        <v>2.2999999999999998</v>
      </c>
      <c r="B63" s="61">
        <f>IF(worksheet!$F$10="Rapid charger",IF(worksheet!$F$11&gt;20,40+(worksheet!$F$17-40)*(worksheet!$F$11-3)/(worksheet!$F$11-3),40+(worksheet!$F$17-40)*(worksheet!$F$11-3)/(worksheet!$F$14-3)),IF(worksheet!$F$18&gt;20,40+(worksheet!$F$17-40)*(worksheet!$F$18-3)/(worksheet!$F$14-3),40+(worksheet!$F$17-40)*(worksheet!$F$18-3)/(worksheet!$F$14-3)))</f>
        <v>67.35294117647058</v>
      </c>
      <c r="C63" s="60">
        <f t="shared" si="8"/>
        <v>0.2883333333333335</v>
      </c>
      <c r="D63" s="44">
        <f>1000*worksheet!$F$42*C63/worksheet!$F$52/worksheet!$F$8</f>
        <v>2.9034965034965055</v>
      </c>
      <c r="E63" s="44">
        <f>worksheet!$F$8*D63/worksheet!$F$29/worksheet!$F$11</f>
        <v>6.5180533751962368</v>
      </c>
      <c r="F63" s="44" t="str">
        <f t="shared" si="0"/>
        <v>DCM</v>
      </c>
      <c r="G63" s="44">
        <f>IF(F63="DCM",1000/(1000/B63+worksheet!$F$43/2/1000),1000/(D63+E63+worksheet!$F$43/2/1000))</f>
        <v>63.909354766688985</v>
      </c>
      <c r="H63" s="44">
        <f>C63/worksheet!$F$52</f>
        <v>1.4786324786324794</v>
      </c>
      <c r="I63" s="44">
        <f>0.5*worksheet!$F$62/100*worksheet!$F$29*H63*E63*G63/1000*worksheet!$F$11</f>
        <v>28.672282838211043</v>
      </c>
      <c r="J63" s="46">
        <f t="shared" si="1"/>
        <v>63.909354766688985</v>
      </c>
      <c r="L63" s="44">
        <v>2.2999999999999998</v>
      </c>
      <c r="M63" s="44" t="str">
        <f>IF(worksheet!$F$10="Rapid charger",40+(worksheet!$F$17-40)*(worksheet!$J$11-3)/(worksheet!$F$14-3)," ")</f>
        <v xml:space="preserve"> </v>
      </c>
      <c r="N63" s="44">
        <f t="shared" si="9"/>
        <v>0.28333333333333349</v>
      </c>
      <c r="O63" s="44">
        <f>1000*worksheet!$F$42*N63/worksheet!$F$52/worksheet!$F$8</f>
        <v>2.8531468531468542</v>
      </c>
      <c r="P63" s="44">
        <f>worksheet!$F$8*O63/worksheet!$F$29/worksheet!$J$11</f>
        <v>5.9780219780219808</v>
      </c>
      <c r="Q63" s="44" t="e">
        <f t="shared" si="5"/>
        <v>#VALUE!</v>
      </c>
      <c r="R63" s="44" t="e">
        <f>IF(Q63="DCM",1000/(1000/M63+worksheet!$F$43/1000),1000/(O63+P63+worksheet!$F$43/1000))</f>
        <v>#VALUE!</v>
      </c>
      <c r="S63" s="44">
        <f>N63/worksheet!$F$52</f>
        <v>1.4529914529914538</v>
      </c>
      <c r="T63" s="44" t="e">
        <f>0.5*worksheet!$F$62/100*worksheet!$F$29*S63*P63*R63/1000*worksheet!$J$11</f>
        <v>#VALUE!</v>
      </c>
    </row>
    <row r="64" spans="1:20">
      <c r="A64" s="44">
        <v>2.3199999999999998</v>
      </c>
      <c r="B64" s="61">
        <f>IF(worksheet!$F$10="Rapid charger",IF(worksheet!$F$11&gt;20,40+(worksheet!$F$17-40)*(worksheet!$F$11-3)/(worksheet!$F$11-3),40+(worksheet!$F$17-40)*(worksheet!$F$11-3)/(worksheet!$F$14-3)),IF(worksheet!$F$18&gt;20,40+(worksheet!$F$17-40)*(worksheet!$F$18-3)/(worksheet!$F$14-3),40+(worksheet!$F$17-40)*(worksheet!$F$18-3)/(worksheet!$F$14-3)))</f>
        <v>67.35294117647058</v>
      </c>
      <c r="C64" s="60">
        <f t="shared" si="8"/>
        <v>0.29316666666666685</v>
      </c>
      <c r="D64" s="44">
        <f>1000*worksheet!$F$42*C64/worksheet!$F$52/worksheet!$F$8</f>
        <v>2.9521678321678344</v>
      </c>
      <c r="E64" s="44">
        <f>worksheet!$F$8*D64/worksheet!$F$29/worksheet!$F$11</f>
        <v>6.627315541601261</v>
      </c>
      <c r="F64" s="44" t="str">
        <f t="shared" si="0"/>
        <v>DCM</v>
      </c>
      <c r="G64" s="44">
        <f>IF(F64="DCM",1000/(1000/B64+worksheet!$F$43/2/1000),1000/(D64+E64+worksheet!$F$43/2/1000))</f>
        <v>63.909354766688985</v>
      </c>
      <c r="H64" s="44">
        <f>C64/worksheet!$F$52</f>
        <v>1.5034188034188043</v>
      </c>
      <c r="I64" s="44">
        <f>0.5*worksheet!$F$62/100*worksheet!$F$29*H64*E64*G64/1000*worksheet!$F$11</f>
        <v>29.641606988651432</v>
      </c>
      <c r="J64" s="46">
        <f t="shared" si="1"/>
        <v>63.909354766688985</v>
      </c>
      <c r="L64" s="44">
        <v>2.3199999999999998</v>
      </c>
      <c r="M64" s="44" t="str">
        <f>IF(worksheet!$F$10="Rapid charger",40+(worksheet!$F$17-40)*(worksheet!$J$11-3)/(worksheet!$F$14-3)," ")</f>
        <v xml:space="preserve"> </v>
      </c>
      <c r="N64" s="44">
        <f t="shared" si="9"/>
        <v>0.28766666666666685</v>
      </c>
      <c r="O64" s="44">
        <f>1000*worksheet!$F$42*N64/worksheet!$F$52/worksheet!$F$8</f>
        <v>2.8967832167832186</v>
      </c>
      <c r="P64" s="44">
        <f>worksheet!$F$8*O64/worksheet!$F$29/worksheet!$J$11</f>
        <v>6.0694505494505533</v>
      </c>
      <c r="Q64" s="44" t="e">
        <f t="shared" si="5"/>
        <v>#VALUE!</v>
      </c>
      <c r="R64" s="44" t="e">
        <f>IF(Q64="DCM",1000/(1000/M64+worksheet!$F$43/1000),1000/(O64+P64+worksheet!$F$43/1000))</f>
        <v>#VALUE!</v>
      </c>
      <c r="S64" s="44">
        <f>N64/worksheet!$F$52</f>
        <v>1.4752136752136762</v>
      </c>
      <c r="T64" s="44" t="e">
        <f>0.5*worksheet!$F$62/100*worksheet!$F$29*S64*P64*R64/1000*worksheet!$J$11</f>
        <v>#VALUE!</v>
      </c>
    </row>
    <row r="65" spans="1:20">
      <c r="A65" s="44">
        <v>2.34</v>
      </c>
      <c r="B65" s="61">
        <f>IF(worksheet!$F$10="Rapid charger",IF(worksheet!$F$11&gt;20,40+(worksheet!$F$17-40)*(worksheet!$F$11-3)/(worksheet!$F$11-3),40+(worksheet!$F$17-40)*(worksheet!$F$11-3)/(worksheet!$F$14-3)),IF(worksheet!$F$18&gt;20,40+(worksheet!$F$17-40)*(worksheet!$F$18-3)/(worksheet!$F$14-3),40+(worksheet!$F$17-40)*(worksheet!$F$18-3)/(worksheet!$F$14-3)))</f>
        <v>67.35294117647058</v>
      </c>
      <c r="C65" s="60">
        <f t="shared" si="8"/>
        <v>0.29800000000000021</v>
      </c>
      <c r="D65" s="44">
        <f>1000*worksheet!$F$42*C65/worksheet!$F$52/worksheet!$F$8</f>
        <v>3.0008391608391629</v>
      </c>
      <c r="E65" s="44">
        <f>worksheet!$F$8*D65/worksheet!$F$29/worksheet!$F$11</f>
        <v>6.7365777080062852</v>
      </c>
      <c r="F65" s="44" t="str">
        <f t="shared" si="0"/>
        <v>DCM</v>
      </c>
      <c r="G65" s="44">
        <f>IF(F65="DCM",1000/(1000/B65+worksheet!$F$43/2/1000),1000/(D65+E65+worksheet!$F$43/2/1000))</f>
        <v>63.909354766688985</v>
      </c>
      <c r="H65" s="44">
        <f>C65/worksheet!$F$52</f>
        <v>1.5282051282051292</v>
      </c>
      <c r="I65" s="44">
        <f>0.5*worksheet!$F$62/100*worksheet!$F$29*H65*E65*G65/1000*worksheet!$F$11</f>
        <v>30.627044868161914</v>
      </c>
      <c r="J65" s="46">
        <f t="shared" si="1"/>
        <v>63.909354766688985</v>
      </c>
      <c r="L65" s="44">
        <v>2.34</v>
      </c>
      <c r="M65" s="44" t="str">
        <f>IF(worksheet!$F$10="Rapid charger",40+(worksheet!$F$17-40)*(worksheet!$J$11-3)/(worksheet!$F$14-3)," ")</f>
        <v xml:space="preserve"> </v>
      </c>
      <c r="N65" s="44">
        <f t="shared" si="9"/>
        <v>0.2920000000000002</v>
      </c>
      <c r="O65" s="44">
        <f>1000*worksheet!$F$42*N65/worksheet!$F$52/worksheet!$F$8</f>
        <v>2.9404195804195825</v>
      </c>
      <c r="P65" s="44">
        <f>worksheet!$F$8*O65/worksheet!$F$29/worksheet!$J$11</f>
        <v>6.1608791208791249</v>
      </c>
      <c r="Q65" s="44" t="e">
        <f t="shared" si="5"/>
        <v>#VALUE!</v>
      </c>
      <c r="R65" s="44" t="e">
        <f>IF(Q65="DCM",1000/(1000/M65+worksheet!$F$43/1000),1000/(O65+P65+worksheet!$F$43/1000))</f>
        <v>#VALUE!</v>
      </c>
      <c r="S65" s="44">
        <f>N65/worksheet!$F$52</f>
        <v>1.4974358974358983</v>
      </c>
      <c r="T65" s="44" t="e">
        <f>0.5*worksheet!$F$62/100*worksheet!$F$29*S65*P65*R65/1000*worksheet!$J$11</f>
        <v>#VALUE!</v>
      </c>
    </row>
    <row r="66" spans="1:20">
      <c r="A66" s="44">
        <v>2.36</v>
      </c>
      <c r="B66" s="61">
        <f>IF(worksheet!$F$10="Rapid charger",IF(worksheet!$F$11&gt;20,40+(worksheet!$F$17-40)*(worksheet!$F$11-3)/(worksheet!$F$11-3),40+(worksheet!$F$17-40)*(worksheet!$F$11-3)/(worksheet!$F$14-3)),IF(worksheet!$F$18&gt;20,40+(worksheet!$F$17-40)*(worksheet!$F$18-3)/(worksheet!$F$14-3),40+(worksheet!$F$17-40)*(worksheet!$F$18-3)/(worksheet!$F$14-3)))</f>
        <v>67.35294117647058</v>
      </c>
      <c r="C66" s="60">
        <f t="shared" si="8"/>
        <v>0.30283333333333357</v>
      </c>
      <c r="D66" s="44">
        <f>1000*worksheet!$F$42*C66/worksheet!$F$52/worksheet!$F$8</f>
        <v>3.0495104895104914</v>
      </c>
      <c r="E66" s="44">
        <f>worksheet!$F$8*D66/worksheet!$F$29/worksheet!$F$11</f>
        <v>6.8458398744113067</v>
      </c>
      <c r="F66" s="44" t="str">
        <f t="shared" si="0"/>
        <v>DCM</v>
      </c>
      <c r="G66" s="44">
        <f>IF(F66="DCM",1000/(1000/B66+worksheet!$F$43/2/1000),1000/(D66+E66+worksheet!$F$43/2/1000))</f>
        <v>63.909354766688985</v>
      </c>
      <c r="H66" s="44">
        <f>C66/worksheet!$F$52</f>
        <v>1.5529914529914541</v>
      </c>
      <c r="I66" s="44">
        <f>0.5*worksheet!$F$62/100*worksheet!$F$29*H66*E66*G66/1000*worksheet!$F$11</f>
        <v>31.62859647674248</v>
      </c>
      <c r="J66" s="46">
        <f t="shared" si="1"/>
        <v>63.909354766688985</v>
      </c>
      <c r="L66" s="44">
        <v>2.36</v>
      </c>
      <c r="M66" s="44" t="str">
        <f>IF(worksheet!$F$10="Rapid charger",40+(worksheet!$F$17-40)*(worksheet!$J$11-3)/(worksheet!$F$14-3)," ")</f>
        <v xml:space="preserve"> </v>
      </c>
      <c r="N66" s="44">
        <f t="shared" si="9"/>
        <v>0.29633333333333356</v>
      </c>
      <c r="O66" s="44">
        <f>1000*worksheet!$F$42*N66/worksheet!$F$52/worksheet!$F$8</f>
        <v>2.9840559440559464</v>
      </c>
      <c r="P66" s="44">
        <f>worksheet!$F$8*O66/worksheet!$F$29/worksheet!$J$11</f>
        <v>6.2523076923076975</v>
      </c>
      <c r="Q66" s="44" t="e">
        <f t="shared" si="5"/>
        <v>#VALUE!</v>
      </c>
      <c r="R66" s="44" t="e">
        <f>IF(Q66="DCM",1000/(1000/M66+worksheet!$F$43/1000),1000/(O66+P66+worksheet!$F$43/1000))</f>
        <v>#VALUE!</v>
      </c>
      <c r="S66" s="44">
        <f>N66/worksheet!$F$52</f>
        <v>1.5196581196581207</v>
      </c>
      <c r="T66" s="44" t="e">
        <f>0.5*worksheet!$F$62/100*worksheet!$F$29*S66*P66*R66/1000*worksheet!$J$11</f>
        <v>#VALUE!</v>
      </c>
    </row>
    <row r="67" spans="1:20">
      <c r="A67" s="44">
        <v>2.38</v>
      </c>
      <c r="B67" s="61">
        <f>IF(worksheet!$F$10="Rapid charger",IF(worksheet!$F$11&gt;20,40+(worksheet!$F$17-40)*(worksheet!$F$11-3)/(worksheet!$F$11-3),40+(worksheet!$F$17-40)*(worksheet!$F$11-3)/(worksheet!$F$14-3)),IF(worksheet!$F$18&gt;20,40+(worksheet!$F$17-40)*(worksheet!$F$18-3)/(worksheet!$F$14-3),40+(worksheet!$F$17-40)*(worksheet!$F$18-3)/(worksheet!$F$14-3)))</f>
        <v>67.35294117647058</v>
      </c>
      <c r="C67" s="60">
        <f t="shared" si="8"/>
        <v>0.30766666666666692</v>
      </c>
      <c r="D67" s="44">
        <f>1000*worksheet!$F$42*C67/worksheet!$F$52/worksheet!$F$8</f>
        <v>3.0981818181818208</v>
      </c>
      <c r="E67" s="44">
        <f>worksheet!$F$8*D67/worksheet!$F$29/worksheet!$F$11</f>
        <v>6.9551020408163327</v>
      </c>
      <c r="F67" s="44" t="str">
        <f t="shared" si="0"/>
        <v>DCM</v>
      </c>
      <c r="G67" s="44">
        <f>IF(F67="DCM",1000/(1000/B67+worksheet!$F$43/2/1000),1000/(D67+E67+worksheet!$F$43/2/1000))</f>
        <v>63.909354766688985</v>
      </c>
      <c r="H67" s="44">
        <f>C67/worksheet!$F$52</f>
        <v>1.5777777777777791</v>
      </c>
      <c r="I67" s="44">
        <f>0.5*worksheet!$F$62/100*worksheet!$F$29*H67*E67*G67/1000*worksheet!$F$11</f>
        <v>32.646261814393142</v>
      </c>
      <c r="J67" s="46">
        <f t="shared" si="1"/>
        <v>63.909354766688985</v>
      </c>
      <c r="L67" s="44">
        <v>2.38</v>
      </c>
      <c r="M67" s="44" t="str">
        <f>IF(worksheet!$F$10="Rapid charger",40+(worksheet!$F$17-40)*(worksheet!$J$11-3)/(worksheet!$F$14-3)," ")</f>
        <v xml:space="preserve"> </v>
      </c>
      <c r="N67" s="44">
        <f t="shared" si="9"/>
        <v>0.30066666666666692</v>
      </c>
      <c r="O67" s="44">
        <f>1000*worksheet!$F$42*N67/worksheet!$F$52/worksheet!$F$8</f>
        <v>3.0276923076923103</v>
      </c>
      <c r="P67" s="44">
        <f>worksheet!$F$8*O67/worksheet!$F$29/worksheet!$J$11</f>
        <v>6.34373626373627</v>
      </c>
      <c r="Q67" s="44" t="e">
        <f t="shared" si="5"/>
        <v>#VALUE!</v>
      </c>
      <c r="R67" s="44" t="e">
        <f>IF(Q67="DCM",1000/(1000/M67+worksheet!$F$43/1000),1000/(O67+P67+worksheet!$F$43/1000))</f>
        <v>#VALUE!</v>
      </c>
      <c r="S67" s="44">
        <f>N67/worksheet!$F$52</f>
        <v>1.5418803418803431</v>
      </c>
      <c r="T67" s="44" t="e">
        <f>0.5*worksheet!$F$62/100*worksheet!$F$29*S67*P67*R67/1000*worksheet!$J$11</f>
        <v>#VALUE!</v>
      </c>
    </row>
    <row r="68" spans="1:20">
      <c r="A68" s="44">
        <v>2.4</v>
      </c>
      <c r="B68" s="61">
        <f>IF(worksheet!$F$10="Rapid charger",IF(worksheet!$F$11&gt;20,40+(worksheet!$F$17-40)*(worksheet!$F$11-3)/(worksheet!$F$11-3),40+(worksheet!$F$17-40)*(worksheet!$F$11-3)/(worksheet!$F$14-3)),IF(worksheet!$F$18&gt;20,40+(worksheet!$F$17-40)*(worksheet!$F$18-3)/(worksheet!$F$14-3),40+(worksheet!$F$17-40)*(worksheet!$F$18-3)/(worksheet!$F$14-3)))</f>
        <v>67.35294117647058</v>
      </c>
      <c r="C68" s="60">
        <f t="shared" si="8"/>
        <v>0.31250000000000028</v>
      </c>
      <c r="D68" s="44">
        <f>1000*worksheet!$F$42*C68/worksheet!$F$52/worksheet!$F$8</f>
        <v>3.1468531468531493</v>
      </c>
      <c r="E68" s="44">
        <f>worksheet!$F$8*D68/worksheet!$F$29/worksheet!$F$11</f>
        <v>7.0643642072213551</v>
      </c>
      <c r="F68" s="44" t="str">
        <f t="shared" ref="F68:F113" si="10">IF((D68+E68)&lt;(1000/B68),"DCM","CDCM")</f>
        <v>DCM</v>
      </c>
      <c r="G68" s="44">
        <f>IF(F68="DCM",1000/(1000/B68+worksheet!$F$43/2/1000),1000/(D68+E68+worksheet!$F$43/2/1000))</f>
        <v>63.909354766688985</v>
      </c>
      <c r="H68" s="44">
        <f>C68/worksheet!$F$52</f>
        <v>1.602564102564104</v>
      </c>
      <c r="I68" s="44">
        <f>0.5*worksheet!$F$62/100*worksheet!$F$29*H68*E68*G68/1000*worksheet!$F$11</f>
        <v>33.680040881113882</v>
      </c>
      <c r="J68" s="46">
        <f t="shared" ref="J68:J98" si="11">G68</f>
        <v>63.909354766688985</v>
      </c>
      <c r="L68" s="44">
        <v>2.4</v>
      </c>
      <c r="M68" s="44" t="str">
        <f>IF(worksheet!$F$10="Rapid charger",40+(worksheet!$F$17-40)*(worksheet!$J$11-3)/(worksheet!$F$14-3)," ")</f>
        <v xml:space="preserve"> </v>
      </c>
      <c r="N68" s="44">
        <f t="shared" si="9"/>
        <v>0.30500000000000027</v>
      </c>
      <c r="O68" s="44">
        <f>1000*worksheet!$F$42*N68/worksheet!$F$52/worksheet!$F$8</f>
        <v>3.0713286713286734</v>
      </c>
      <c r="P68" s="44">
        <f>worksheet!$F$8*O68/worksheet!$F$29/worksheet!$J$11</f>
        <v>6.4351648351648398</v>
      </c>
      <c r="Q68" s="44" t="e">
        <f t="shared" si="5"/>
        <v>#VALUE!</v>
      </c>
      <c r="R68" s="44" t="e">
        <f>IF(Q68="DCM",1000/(1000/M68+worksheet!$F$43/1000),1000/(O68+P68+worksheet!$F$43/1000))</f>
        <v>#VALUE!</v>
      </c>
      <c r="S68" s="44">
        <f>N68/worksheet!$F$52</f>
        <v>1.5641025641025654</v>
      </c>
      <c r="T68" s="44" t="e">
        <f>0.5*worksheet!$F$62/100*worksheet!$F$29*S68*P68*R68/1000*worksheet!$J$11</f>
        <v>#VALUE!</v>
      </c>
    </row>
    <row r="69" spans="1:20">
      <c r="A69" s="44">
        <v>2.42</v>
      </c>
      <c r="B69" s="61">
        <f>IF(worksheet!$F$10="Rapid charger",IF(worksheet!$F$11&gt;20,40+(worksheet!$F$17-40)*(worksheet!$F$11-3)/(worksheet!$F$11-3),40+(worksheet!$F$17-40)*(worksheet!$F$11-3)/(worksheet!$F$14-3)),IF(worksheet!$F$18&gt;20,40+(worksheet!$F$17-40)*(worksheet!$F$18-3)/(worksheet!$F$14-3),40+(worksheet!$F$17-40)*(worksheet!$F$18-3)/(worksheet!$F$14-3)))</f>
        <v>67.35294117647058</v>
      </c>
      <c r="C69" s="60">
        <f t="shared" si="8"/>
        <v>0.31733333333333363</v>
      </c>
      <c r="D69" s="44">
        <f>1000*worksheet!$F$42*C69/worksheet!$F$52/worksheet!$F$8</f>
        <v>3.1955244755244787</v>
      </c>
      <c r="E69" s="44">
        <f>worksheet!$F$8*D69/worksheet!$F$29/worksheet!$F$11</f>
        <v>7.173626373626381</v>
      </c>
      <c r="F69" s="44" t="str">
        <f t="shared" si="10"/>
        <v>DCM</v>
      </c>
      <c r="G69" s="44">
        <f>IF(F69="DCM",1000/(1000/B69+worksheet!$F$43/2/1000),1000/(D69+E69+worksheet!$F$43/2/1000))</f>
        <v>63.909354766688985</v>
      </c>
      <c r="H69" s="44">
        <f>C69/worksheet!$F$52</f>
        <v>1.6273504273504289</v>
      </c>
      <c r="I69" s="44">
        <f>0.5*worksheet!$F$62/100*worksheet!$F$29*H69*E69*G69/1000*worksheet!$F$11</f>
        <v>34.729933676904736</v>
      </c>
      <c r="J69" s="46">
        <f t="shared" si="11"/>
        <v>63.909354766688985</v>
      </c>
      <c r="L69" s="44">
        <v>2.42</v>
      </c>
      <c r="M69" s="44" t="str">
        <f>IF(worksheet!$F$10="Rapid charger",40+(worksheet!$F$17-40)*(worksheet!$J$11-3)/(worksheet!$F$14-3)," ")</f>
        <v xml:space="preserve"> </v>
      </c>
      <c r="N69" s="44">
        <f t="shared" si="9"/>
        <v>0.30933333333333363</v>
      </c>
      <c r="O69" s="44">
        <f>1000*worksheet!$F$42*N69/worksheet!$F$52/worksheet!$F$8</f>
        <v>3.1149650349650377</v>
      </c>
      <c r="P69" s="44">
        <f>worksheet!$F$8*O69/worksheet!$F$29/worksheet!$J$11</f>
        <v>6.5265934065934124</v>
      </c>
      <c r="Q69" s="44" t="e">
        <f t="shared" si="5"/>
        <v>#VALUE!</v>
      </c>
      <c r="R69" s="44" t="e">
        <f>IF(Q69="DCM",1000/(1000/M69+worksheet!$F$43/1000),1000/(O69+P69+worksheet!$F$43/1000))</f>
        <v>#VALUE!</v>
      </c>
      <c r="S69" s="44">
        <f>N69/worksheet!$F$52</f>
        <v>1.5863247863247878</v>
      </c>
      <c r="T69" s="44" t="e">
        <f>0.5*worksheet!$F$62/100*worksheet!$F$29*S69*P69*R69/1000*worksheet!$J$11</f>
        <v>#VALUE!</v>
      </c>
    </row>
    <row r="70" spans="1:20">
      <c r="A70" s="44">
        <v>2.44</v>
      </c>
      <c r="B70" s="61">
        <f>IF(worksheet!$F$10="Rapid charger",IF(worksheet!$F$11&gt;20,40+(worksheet!$F$17-40)*(worksheet!$F$11-3)/(worksheet!$F$11-3),40+(worksheet!$F$17-40)*(worksheet!$F$11-3)/(worksheet!$F$14-3)),IF(worksheet!$F$18&gt;20,40+(worksheet!$F$17-40)*(worksheet!$F$18-3)/(worksheet!$F$14-3),40+(worksheet!$F$17-40)*(worksheet!$F$18-3)/(worksheet!$F$14-3)))</f>
        <v>67.35294117647058</v>
      </c>
      <c r="C70" s="60">
        <f t="shared" si="8"/>
        <v>0.32216666666666699</v>
      </c>
      <c r="D70" s="44">
        <f>1000*worksheet!$F$42*C70/worksheet!$F$52/worksheet!$F$8</f>
        <v>3.2441958041958072</v>
      </c>
      <c r="E70" s="44">
        <f>worksheet!$F$8*D70/worksheet!$F$29/worksheet!$F$11</f>
        <v>7.2828885400314034</v>
      </c>
      <c r="F70" s="44" t="str">
        <f t="shared" si="10"/>
        <v>DCM</v>
      </c>
      <c r="G70" s="44">
        <f>IF(F70="DCM",1000/(1000/B70+worksheet!$F$43/2/1000),1000/(D70+E70+worksheet!$F$43/2/1000))</f>
        <v>63.909354766688985</v>
      </c>
      <c r="H70" s="44">
        <f>C70/worksheet!$F$52</f>
        <v>1.6521367521367538</v>
      </c>
      <c r="I70" s="44">
        <f>0.5*worksheet!$F$62/100*worksheet!$F$29*H70*E70*G70/1000*worksheet!$F$11</f>
        <v>35.795940201765653</v>
      </c>
      <c r="J70" s="46">
        <f t="shared" si="11"/>
        <v>63.909354766688985</v>
      </c>
      <c r="L70" s="44">
        <v>2.44</v>
      </c>
      <c r="M70" s="44" t="str">
        <f>IF(worksheet!$F$10="Rapid charger",40+(worksheet!$F$17-40)*(worksheet!$J$11-3)/(worksheet!$F$14-3)," ")</f>
        <v xml:space="preserve"> </v>
      </c>
      <c r="N70" s="44">
        <f t="shared" si="9"/>
        <v>0.31366666666666698</v>
      </c>
      <c r="O70" s="44">
        <f>1000*worksheet!$F$42*N70/worksheet!$F$52/worksheet!$F$8</f>
        <v>3.1586013986014017</v>
      </c>
      <c r="P70" s="44">
        <f>worksheet!$F$8*O70/worksheet!$F$29/worksheet!$J$11</f>
        <v>6.618021978021984</v>
      </c>
      <c r="Q70" s="44" t="e">
        <f t="shared" si="5"/>
        <v>#VALUE!</v>
      </c>
      <c r="R70" s="44" t="e">
        <f>IF(Q70="DCM",1000/(1000/M70+worksheet!$F$43/1000),1000/(O70+P70+worksheet!$F$43/1000))</f>
        <v>#VALUE!</v>
      </c>
      <c r="S70" s="44">
        <f>N70/worksheet!$F$52</f>
        <v>1.6085470085470102</v>
      </c>
      <c r="T70" s="44" t="e">
        <f>0.5*worksheet!$F$62/100*worksheet!$F$29*S70*P70*R70/1000*worksheet!$J$11</f>
        <v>#VALUE!</v>
      </c>
    </row>
    <row r="71" spans="1:20">
      <c r="A71" s="44">
        <v>2.46</v>
      </c>
      <c r="B71" s="61">
        <f>IF(worksheet!$F$10="Rapid charger",IF(worksheet!$F$11&gt;20,40+(worksheet!$F$17-40)*(worksheet!$F$11-3)/(worksheet!$F$11-3),40+(worksheet!$F$17-40)*(worksheet!$F$11-3)/(worksheet!$F$14-3)),IF(worksheet!$F$18&gt;20,40+(worksheet!$F$17-40)*(worksheet!$F$18-3)/(worksheet!$F$14-3),40+(worksheet!$F$17-40)*(worksheet!$F$18-3)/(worksheet!$F$14-3)))</f>
        <v>67.35294117647058</v>
      </c>
      <c r="C71" s="60">
        <f t="shared" si="8"/>
        <v>0.32700000000000035</v>
      </c>
      <c r="D71" s="44">
        <f>1000*worksheet!$F$42*C71/worksheet!$F$52/worksheet!$F$8</f>
        <v>3.2928671328671366</v>
      </c>
      <c r="E71" s="44">
        <f>worksheet!$F$8*D71/worksheet!$F$29/worksheet!$F$11</f>
        <v>7.3921507064364294</v>
      </c>
      <c r="F71" s="44" t="str">
        <f t="shared" si="10"/>
        <v>DCM</v>
      </c>
      <c r="G71" s="44">
        <f>IF(F71="DCM",1000/(1000/B71+worksheet!$F$43/2/1000),1000/(D71+E71+worksheet!$F$43/2/1000))</f>
        <v>63.909354766688985</v>
      </c>
      <c r="H71" s="44">
        <f>C71/worksheet!$F$52</f>
        <v>1.6769230769230787</v>
      </c>
      <c r="I71" s="44">
        <f>0.5*worksheet!$F$62/100*worksheet!$F$29*H71*E71*G71/1000*worksheet!$F$11</f>
        <v>36.878060455696676</v>
      </c>
      <c r="J71" s="46">
        <f t="shared" si="11"/>
        <v>63.909354766688985</v>
      </c>
      <c r="L71" s="44">
        <v>2.46</v>
      </c>
      <c r="M71" s="44" t="str">
        <f>IF(worksheet!$F$10="Rapid charger",40+(worksheet!$F$17-40)*(worksheet!$J$11-3)/(worksheet!$F$14-3)," ")</f>
        <v xml:space="preserve"> </v>
      </c>
      <c r="N71" s="44">
        <f t="shared" si="9"/>
        <v>0.31800000000000034</v>
      </c>
      <c r="O71" s="44">
        <f>1000*worksheet!$F$42*N71/worksheet!$F$52/worksheet!$F$8</f>
        <v>3.2022377622377651</v>
      </c>
      <c r="P71" s="44">
        <f>worksheet!$F$8*O71/worksheet!$F$29/worksheet!$J$11</f>
        <v>6.7094505494505556</v>
      </c>
      <c r="Q71" s="44" t="e">
        <f t="shared" si="5"/>
        <v>#VALUE!</v>
      </c>
      <c r="R71" s="44" t="e">
        <f>IF(Q71="DCM",1000/(1000/M71+worksheet!$F$43/1000),1000/(O71+P71+worksheet!$F$43/1000))</f>
        <v>#VALUE!</v>
      </c>
      <c r="S71" s="44">
        <f>N71/worksheet!$F$52</f>
        <v>1.6307692307692325</v>
      </c>
      <c r="T71" s="44" t="e">
        <f>0.5*worksheet!$F$62/100*worksheet!$F$29*S71*P71*R71/1000*worksheet!$J$11</f>
        <v>#VALUE!</v>
      </c>
    </row>
    <row r="72" spans="1:20">
      <c r="A72" s="44">
        <v>2.48</v>
      </c>
      <c r="B72" s="61">
        <f>IF(worksheet!$F$10="Rapid charger",IF(worksheet!$F$11&gt;20,40+(worksheet!$F$17-40)*(worksheet!$F$11-3)/(worksheet!$F$11-3),40+(worksheet!$F$17-40)*(worksheet!$F$11-3)/(worksheet!$F$14-3)),IF(worksheet!$F$18&gt;20,40+(worksheet!$F$17-40)*(worksheet!$F$18-3)/(worksheet!$F$14-3),40+(worksheet!$F$17-40)*(worksheet!$F$18-3)/(worksheet!$F$14-3)))</f>
        <v>67.35294117647058</v>
      </c>
      <c r="C72" s="60">
        <f t="shared" si="8"/>
        <v>0.3318333333333337</v>
      </c>
      <c r="D72" s="44">
        <f>1000*worksheet!$F$42*C72/worksheet!$F$52/worksheet!$F$8</f>
        <v>3.3415384615384647</v>
      </c>
      <c r="E72" s="44">
        <f>worksheet!$F$8*D72/worksheet!$F$29/worksheet!$F$11</f>
        <v>7.5014128728414509</v>
      </c>
      <c r="F72" s="44" t="str">
        <f t="shared" si="10"/>
        <v>DCM</v>
      </c>
      <c r="G72" s="44">
        <f>IF(F72="DCM",1000/(1000/B72+worksheet!$F$43/2/1000),1000/(D72+E72+worksheet!$F$43/2/1000))</f>
        <v>63.909354766688985</v>
      </c>
      <c r="H72" s="44">
        <f>C72/worksheet!$F$52</f>
        <v>1.7017094017094034</v>
      </c>
      <c r="I72" s="44">
        <f>0.5*worksheet!$F$62/100*worksheet!$F$29*H72*E72*G72/1000*worksheet!$F$11</f>
        <v>37.976294438697771</v>
      </c>
      <c r="J72" s="46">
        <f t="shared" si="11"/>
        <v>63.909354766688985</v>
      </c>
      <c r="L72" s="44">
        <v>2.48</v>
      </c>
      <c r="M72" s="44" t="str">
        <f>IF(worksheet!$F$10="Rapid charger",40+(worksheet!$F$17-40)*(worksheet!$J$11-3)/(worksheet!$F$14-3)," ")</f>
        <v xml:space="preserve"> </v>
      </c>
      <c r="N72" s="44">
        <f t="shared" si="9"/>
        <v>0.32233333333333369</v>
      </c>
      <c r="O72" s="44">
        <f>1000*worksheet!$F$42*N72/worksheet!$F$52/worksheet!$F$8</f>
        <v>3.2458741258741295</v>
      </c>
      <c r="P72" s="44">
        <f>worksheet!$F$8*O72/worksheet!$F$29/worksheet!$J$11</f>
        <v>6.800879120879129</v>
      </c>
      <c r="Q72" s="44" t="e">
        <f t="shared" si="5"/>
        <v>#VALUE!</v>
      </c>
      <c r="R72" s="44" t="e">
        <f>IF(Q72="DCM",1000/(1000/M72+worksheet!$F$43/1000),1000/(O72+P72+worksheet!$F$43/1000))</f>
        <v>#VALUE!</v>
      </c>
      <c r="S72" s="44">
        <f>N72/worksheet!$F$52</f>
        <v>1.6529914529914549</v>
      </c>
      <c r="T72" s="44" t="e">
        <f>0.5*worksheet!$F$62/100*worksheet!$F$29*S72*P72*R72/1000*worksheet!$J$11</f>
        <v>#VALUE!</v>
      </c>
    </row>
    <row r="73" spans="1:20">
      <c r="A73" s="44">
        <v>2.5</v>
      </c>
      <c r="B73" s="61">
        <f>IF(worksheet!$F$10="Rapid charger",IF(worksheet!$F$11&gt;20,40+(worksheet!$F$17-40)*(worksheet!$F$11-3)/(worksheet!$F$11-3),40+(worksheet!$F$17-40)*(worksheet!$F$11-3)/(worksheet!$F$14-3)),IF(worksheet!$F$18&gt;20,40+(worksheet!$F$17-40)*(worksheet!$F$18-3)/(worksheet!$F$14-3),40+(worksheet!$F$17-40)*(worksheet!$F$18-3)/(worksheet!$F$14-3)))</f>
        <v>67.35294117647058</v>
      </c>
      <c r="C73" s="60">
        <f t="shared" si="8"/>
        <v>0.33666666666666706</v>
      </c>
      <c r="D73" s="44">
        <f>1000*worksheet!$F$42*C73/worksheet!$F$52/worksheet!$F$8</f>
        <v>3.3902097902097941</v>
      </c>
      <c r="E73" s="44">
        <f>worksheet!$F$8*D73/worksheet!$F$29/worksheet!$F$11</f>
        <v>7.6106750392464759</v>
      </c>
      <c r="F73" s="44" t="str">
        <f t="shared" si="10"/>
        <v>DCM</v>
      </c>
      <c r="G73" s="44">
        <f>IF(F73="DCM",1000/(1000/B73+worksheet!$F$43/2/1000),1000/(D73+E73+worksheet!$F$43/2/1000))</f>
        <v>63.909354766688985</v>
      </c>
      <c r="H73" s="44">
        <f>C73/worksheet!$F$52</f>
        <v>1.7264957264957284</v>
      </c>
      <c r="I73" s="44">
        <f>0.5*worksheet!$F$62/100*worksheet!$F$29*H73*E73*G73/1000*worksheet!$F$11</f>
        <v>39.090642150768971</v>
      </c>
      <c r="J73" s="46">
        <f t="shared" si="11"/>
        <v>63.909354766688985</v>
      </c>
      <c r="L73" s="44">
        <v>2.5</v>
      </c>
      <c r="M73" s="44" t="str">
        <f>IF(worksheet!$F$10="Rapid charger",40+(worksheet!$F$17-40)*(worksheet!$J$11-3)/(worksheet!$F$14-3)," ")</f>
        <v xml:space="preserve"> </v>
      </c>
      <c r="N73" s="44">
        <f t="shared" si="9"/>
        <v>0.32666666666666705</v>
      </c>
      <c r="O73" s="44">
        <f>1000*worksheet!$F$42*N73/worksheet!$F$52/worksheet!$F$8</f>
        <v>3.2895104895104934</v>
      </c>
      <c r="P73" s="44">
        <f>worksheet!$F$8*O73/worksheet!$F$29/worksheet!$J$11</f>
        <v>6.8923076923076998</v>
      </c>
      <c r="Q73" s="44" t="e">
        <f t="shared" si="5"/>
        <v>#VALUE!</v>
      </c>
      <c r="R73" s="44" t="e">
        <f>IF(Q73="DCM",1000/(1000/M73+worksheet!$F$43/1000),1000/(O73+P73+worksheet!$F$43/1000))</f>
        <v>#VALUE!</v>
      </c>
      <c r="S73" s="44">
        <f>N73/worksheet!$F$52</f>
        <v>1.675213675213677</v>
      </c>
      <c r="T73" s="44" t="e">
        <f>0.5*worksheet!$F$62/100*worksheet!$F$29*S73*P73*R73/1000*worksheet!$J$11</f>
        <v>#VALUE!</v>
      </c>
    </row>
    <row r="74" spans="1:20">
      <c r="A74" s="44">
        <v>2.52</v>
      </c>
      <c r="B74" s="61">
        <f>IF(worksheet!$F$10="Rapid charger",IF(worksheet!$F$11&gt;20,40+(worksheet!$F$17-40)*(worksheet!$F$11-3)/(worksheet!$F$11-3),40+(worksheet!$F$17-40)*(worksheet!$F$11-3)/(worksheet!$F$14-3)),IF(worksheet!$F$18&gt;20,40+(worksheet!$F$17-40)*(worksheet!$F$18-3)/(worksheet!$F$14-3),40+(worksheet!$F$17-40)*(worksheet!$F$18-3)/(worksheet!$F$14-3)))</f>
        <v>67.35294117647058</v>
      </c>
      <c r="C74" s="60">
        <f t="shared" si="8"/>
        <v>0.34150000000000041</v>
      </c>
      <c r="D74" s="44">
        <f>1000*worksheet!$F$42*C74/worksheet!$F$52/worksheet!$F$8</f>
        <v>3.438881118881123</v>
      </c>
      <c r="E74" s="44">
        <f>worksheet!$F$8*D74/worksheet!$F$29/worksheet!$F$11</f>
        <v>7.7199372056515001</v>
      </c>
      <c r="F74" s="44" t="str">
        <f t="shared" si="10"/>
        <v>DCM</v>
      </c>
      <c r="G74" s="44">
        <f>IF(F74="DCM",1000/(1000/B74+worksheet!$F$43/2/1000),1000/(D74+E74+worksheet!$F$43/2/1000))</f>
        <v>63.909354766688985</v>
      </c>
      <c r="H74" s="44">
        <f>C74/worksheet!$F$52</f>
        <v>1.7512820512820533</v>
      </c>
      <c r="I74" s="44">
        <f>0.5*worksheet!$F$62/100*worksheet!$F$29*H74*E74*G74/1000*worksheet!$F$11</f>
        <v>40.221103591910264</v>
      </c>
      <c r="J74" s="46">
        <f t="shared" si="11"/>
        <v>63.909354766688985</v>
      </c>
      <c r="L74" s="44">
        <v>2.52</v>
      </c>
      <c r="M74" s="44" t="str">
        <f>IF(worksheet!$F$10="Rapid charger",40+(worksheet!$F$17-40)*(worksheet!$J$11-3)/(worksheet!$F$14-3)," ")</f>
        <v xml:space="preserve"> </v>
      </c>
      <c r="N74" s="44">
        <f t="shared" si="9"/>
        <v>0.33100000000000041</v>
      </c>
      <c r="O74" s="44">
        <f>1000*worksheet!$F$42*N74/worksheet!$F$52/worksheet!$F$8</f>
        <v>3.3331468531468578</v>
      </c>
      <c r="P74" s="44">
        <f>worksheet!$F$8*O74/worksheet!$F$29/worksheet!$J$11</f>
        <v>6.9837362637362732</v>
      </c>
      <c r="Q74" s="44" t="e">
        <f t="shared" si="5"/>
        <v>#VALUE!</v>
      </c>
      <c r="R74" s="44" t="e">
        <f>IF(Q74="DCM",1000/(1000/M74+worksheet!$F$43/1000),1000/(O74+P74+worksheet!$F$43/1000))</f>
        <v>#VALUE!</v>
      </c>
      <c r="S74" s="44">
        <f>N74/worksheet!$F$52</f>
        <v>1.6974358974358994</v>
      </c>
      <c r="T74" s="44" t="e">
        <f>0.5*worksheet!$F$62/100*worksheet!$F$29*S74*P74*R74/1000*worksheet!$J$11</f>
        <v>#VALUE!</v>
      </c>
    </row>
    <row r="75" spans="1:20">
      <c r="A75" s="44">
        <v>2.54</v>
      </c>
      <c r="B75" s="61">
        <f>IF(worksheet!$F$10="Rapid charger",IF(worksheet!$F$11&gt;20,40+(worksheet!$F$17-40)*(worksheet!$F$11-3)/(worksheet!$F$11-3),40+(worksheet!$F$17-40)*(worksheet!$F$11-3)/(worksheet!$F$14-3)),IF(worksheet!$F$18&gt;20,40+(worksheet!$F$17-40)*(worksheet!$F$18-3)/(worksheet!$F$14-3),40+(worksheet!$F$17-40)*(worksheet!$F$18-3)/(worksheet!$F$14-3)))</f>
        <v>67.35294117647058</v>
      </c>
      <c r="C75" s="60">
        <f t="shared" si="8"/>
        <v>0.34633333333333377</v>
      </c>
      <c r="D75" s="44">
        <f>1000*worksheet!$F$42*C75/worksheet!$F$52/worksheet!$F$8</f>
        <v>3.487552447552452</v>
      </c>
      <c r="E75" s="44">
        <f>worksheet!$F$8*D75/worksheet!$F$29/worksheet!$F$11</f>
        <v>7.8291993720565243</v>
      </c>
      <c r="F75" s="44" t="str">
        <f t="shared" si="10"/>
        <v>DCM</v>
      </c>
      <c r="G75" s="44">
        <f>IF(F75="DCM",1000/(1000/B75+worksheet!$F$43/2/1000),1000/(D75+E75+worksheet!$F$43/2/1000))</f>
        <v>63.909354766688985</v>
      </c>
      <c r="H75" s="44">
        <f>C75/worksheet!$F$52</f>
        <v>1.7760683760683782</v>
      </c>
      <c r="I75" s="44">
        <f>0.5*worksheet!$F$62/100*worksheet!$F$29*H75*E75*G75/1000*worksheet!$F$11</f>
        <v>41.367678762121635</v>
      </c>
      <c r="J75" s="46">
        <f t="shared" si="11"/>
        <v>63.909354766688985</v>
      </c>
      <c r="L75" s="44">
        <v>2.54</v>
      </c>
      <c r="M75" s="44" t="str">
        <f>IF(worksheet!$F$10="Rapid charger",40+(worksheet!$F$17-40)*(worksheet!$J$11-3)/(worksheet!$F$14-3)," ")</f>
        <v xml:space="preserve"> </v>
      </c>
      <c r="N75" s="44">
        <f t="shared" si="9"/>
        <v>0.33533333333333376</v>
      </c>
      <c r="O75" s="44">
        <f>1000*worksheet!$F$42*N75/worksheet!$F$52/worksheet!$F$8</f>
        <v>3.3767832167832208</v>
      </c>
      <c r="P75" s="44">
        <f>worksheet!$F$8*O75/worksheet!$F$29/worksheet!$J$11</f>
        <v>7.0751648351648431</v>
      </c>
      <c r="Q75" s="44" t="e">
        <f t="shared" si="5"/>
        <v>#VALUE!</v>
      </c>
      <c r="R75" s="44" t="e">
        <f>IF(Q75="DCM",1000/(1000/M75+worksheet!$F$43/1000),1000/(O75+P75+worksheet!$F$43/1000))</f>
        <v>#VALUE!</v>
      </c>
      <c r="S75" s="44">
        <f>N75/worksheet!$F$52</f>
        <v>1.7196581196581218</v>
      </c>
      <c r="T75" s="44" t="e">
        <f>0.5*worksheet!$F$62/100*worksheet!$F$29*S75*P75*R75/1000*worksheet!$J$11</f>
        <v>#VALUE!</v>
      </c>
    </row>
    <row r="76" spans="1:20">
      <c r="A76" s="44">
        <v>2.56</v>
      </c>
      <c r="B76" s="61">
        <f>IF(worksheet!$F$10="Rapid charger",IF(worksheet!$F$11&gt;20,40+(worksheet!$F$17-40)*(worksheet!$F$11-3)/(worksheet!$F$11-3),40+(worksheet!$F$17-40)*(worksheet!$F$11-3)/(worksheet!$F$14-3)),IF(worksheet!$F$18&gt;20,40+(worksheet!$F$17-40)*(worksheet!$F$18-3)/(worksheet!$F$14-3),40+(worksheet!$F$17-40)*(worksheet!$F$18-3)/(worksheet!$F$14-3)))</f>
        <v>67.35294117647058</v>
      </c>
      <c r="C76" s="60">
        <f t="shared" si="8"/>
        <v>0.35116666666666713</v>
      </c>
      <c r="D76" s="44">
        <f>1000*worksheet!$F$42*C76/worksheet!$F$52/worksheet!$F$8</f>
        <v>3.5362237762237809</v>
      </c>
      <c r="E76" s="44">
        <f>worksheet!$F$8*D76/worksheet!$F$29/worksheet!$F$11</f>
        <v>7.9384615384615485</v>
      </c>
      <c r="F76" s="44" t="str">
        <f t="shared" si="10"/>
        <v>DCM</v>
      </c>
      <c r="G76" s="44">
        <f>IF(F76="DCM",1000/(1000/B76+worksheet!$F$43/2/1000),1000/(D76+E76+worksheet!$F$43/2/1000))</f>
        <v>63.909354766688985</v>
      </c>
      <c r="H76" s="44">
        <f>C76/worksheet!$F$52</f>
        <v>1.8008547008547031</v>
      </c>
      <c r="I76" s="44">
        <f>0.5*worksheet!$F$62/100*worksheet!$F$29*H76*E76*G76/1000*worksheet!$F$11</f>
        <v>42.530367661403112</v>
      </c>
      <c r="J76" s="46">
        <f t="shared" si="11"/>
        <v>63.909354766688985</v>
      </c>
      <c r="L76" s="44">
        <v>2.56</v>
      </c>
      <c r="M76" s="44" t="str">
        <f>IF(worksheet!$F$10="Rapid charger",40+(worksheet!$F$17-40)*(worksheet!$J$11-3)/(worksheet!$F$14-3)," ")</f>
        <v xml:space="preserve"> </v>
      </c>
      <c r="N76" s="44">
        <f t="shared" si="9"/>
        <v>0.33966666666666712</v>
      </c>
      <c r="O76" s="44">
        <f>1000*worksheet!$F$42*N76/worksheet!$F$52/worksheet!$F$8</f>
        <v>3.4204195804195847</v>
      </c>
      <c r="P76" s="44">
        <f>worksheet!$F$8*O76/worksheet!$F$29/worksheet!$J$11</f>
        <v>7.1665934065934156</v>
      </c>
      <c r="Q76" s="44" t="e">
        <f t="shared" si="5"/>
        <v>#VALUE!</v>
      </c>
      <c r="R76" s="44" t="e">
        <f>IF(Q76="DCM",1000/(1000/M76+worksheet!$F$43/1000),1000/(O76+P76+worksheet!$F$43/1000))</f>
        <v>#VALUE!</v>
      </c>
      <c r="S76" s="44">
        <f>N76/worksheet!$F$52</f>
        <v>1.7418803418803441</v>
      </c>
      <c r="T76" s="44" t="e">
        <f>0.5*worksheet!$F$62/100*worksheet!$F$29*S76*P76*R76/1000*worksheet!$J$11</f>
        <v>#VALUE!</v>
      </c>
    </row>
    <row r="77" spans="1:20">
      <c r="A77" s="44">
        <v>2.58</v>
      </c>
      <c r="B77" s="61">
        <f>IF(worksheet!$F$10="Rapid charger",IF(worksheet!$F$11&gt;20,40+(worksheet!$F$17-40)*(worksheet!$F$11-3)/(worksheet!$F$11-3),40+(worksheet!$F$17-40)*(worksheet!$F$11-3)/(worksheet!$F$14-3)),IF(worksheet!$F$18&gt;20,40+(worksheet!$F$17-40)*(worksheet!$F$18-3)/(worksheet!$F$14-3),40+(worksheet!$F$17-40)*(worksheet!$F$18-3)/(worksheet!$F$14-3)))</f>
        <v>67.35294117647058</v>
      </c>
      <c r="C77" s="60">
        <f t="shared" si="8"/>
        <v>0.35600000000000048</v>
      </c>
      <c r="D77" s="44">
        <f>1000*worksheet!$F$42*C77/worksheet!$F$52/worksheet!$F$8</f>
        <v>3.5848951048951094</v>
      </c>
      <c r="E77" s="44">
        <f>worksheet!$F$8*D77/worksheet!$F$29/worksheet!$F$11</f>
        <v>8.0477237048665717</v>
      </c>
      <c r="F77" s="44" t="str">
        <f t="shared" si="10"/>
        <v>DCM</v>
      </c>
      <c r="G77" s="44">
        <f>IF(F77="DCM",1000/(1000/B77+worksheet!$F$43/2/1000),1000/(D77+E77+worksheet!$F$43/2/1000))</f>
        <v>63.909354766688985</v>
      </c>
      <c r="H77" s="44">
        <f>C77/worksheet!$F$52</f>
        <v>1.825641025641028</v>
      </c>
      <c r="I77" s="44">
        <f>0.5*worksheet!$F$62/100*worksheet!$F$29*H77*E77*G77/1000*worksheet!$F$11</f>
        <v>43.70917028975466</v>
      </c>
      <c r="J77" s="46">
        <f t="shared" si="11"/>
        <v>63.909354766688985</v>
      </c>
      <c r="L77" s="44">
        <v>2.58</v>
      </c>
      <c r="M77" s="44" t="str">
        <f>IF(worksheet!$F$10="Rapid charger",40+(worksheet!$F$17-40)*(worksheet!$J$11-3)/(worksheet!$F$14-3)," ")</f>
        <v xml:space="preserve"> </v>
      </c>
      <c r="N77" s="44">
        <f t="shared" si="9"/>
        <v>0.34400000000000047</v>
      </c>
      <c r="O77" s="44">
        <f>1000*worksheet!$F$42*N77/worksheet!$F$52/worksheet!$F$8</f>
        <v>3.4640559440559486</v>
      </c>
      <c r="P77" s="44">
        <f>worksheet!$F$8*O77/worksheet!$F$29/worksheet!$J$11</f>
        <v>7.2580219780219881</v>
      </c>
      <c r="Q77" s="44" t="e">
        <f t="shared" si="5"/>
        <v>#VALUE!</v>
      </c>
      <c r="R77" s="44" t="e">
        <f>IF(Q77="DCM",1000/(1000/M77+worksheet!$F$43/1000),1000/(O77+P77+worksheet!$F$43/1000))</f>
        <v>#VALUE!</v>
      </c>
      <c r="S77" s="44">
        <f>N77/worksheet!$F$52</f>
        <v>1.7641025641025665</v>
      </c>
      <c r="T77" s="44" t="e">
        <f>0.5*worksheet!$F$62/100*worksheet!$F$29*S77*P77*R77/1000*worksheet!$J$11</f>
        <v>#VALUE!</v>
      </c>
    </row>
    <row r="78" spans="1:20">
      <c r="A78" s="44">
        <v>2.6</v>
      </c>
      <c r="B78" s="61">
        <f>IF(worksheet!$F$10="Rapid charger",IF(worksheet!$F$11&gt;20,40+(worksheet!$F$17-40)*(worksheet!$F$11-3)/(worksheet!$F$11-3),40+(worksheet!$F$17-40)*(worksheet!$F$11-3)/(worksheet!$F$14-3)),IF(worksheet!$F$18&gt;20,40+(worksheet!$F$17-40)*(worksheet!$F$18-3)/(worksheet!$F$14-3),40+(worksheet!$F$17-40)*(worksheet!$F$18-3)/(worksheet!$F$14-3)))</f>
        <v>67.35294117647058</v>
      </c>
      <c r="C78" s="60">
        <f t="shared" si="8"/>
        <v>0.36083333333333384</v>
      </c>
      <c r="D78" s="44">
        <f>1000*worksheet!$F$42*C78/worksheet!$F$52/worksheet!$F$8</f>
        <v>3.6335664335664388</v>
      </c>
      <c r="E78" s="44">
        <f>worksheet!$F$8*D78/worksheet!$F$29/worksheet!$F$11</f>
        <v>8.1569858712715977</v>
      </c>
      <c r="F78" s="44" t="str">
        <f t="shared" si="10"/>
        <v>DCM</v>
      </c>
      <c r="G78" s="44">
        <f>IF(F78="DCM",1000/(1000/B78+worksheet!$F$43/2/1000),1000/(D78+E78+worksheet!$F$43/2/1000))</f>
        <v>63.909354766688985</v>
      </c>
      <c r="H78" s="44">
        <f>C78/worksheet!$F$52</f>
        <v>1.850427350427353</v>
      </c>
      <c r="I78" s="44">
        <f>0.5*worksheet!$F$62/100*worksheet!$F$29*H78*E78*G78/1000*worksheet!$F$11</f>
        <v>44.904086647176307</v>
      </c>
      <c r="J78" s="46">
        <f t="shared" si="11"/>
        <v>63.909354766688985</v>
      </c>
      <c r="L78" s="44">
        <v>2.6</v>
      </c>
      <c r="M78" s="44" t="str">
        <f>IF(worksheet!$F$10="Rapid charger",40+(worksheet!$F$17-40)*(worksheet!$J$11-3)/(worksheet!$F$14-3)," ")</f>
        <v xml:space="preserve"> </v>
      </c>
      <c r="N78" s="44">
        <f t="shared" si="9"/>
        <v>0.34833333333333383</v>
      </c>
      <c r="O78" s="44">
        <f>1000*worksheet!$F$42*N78/worksheet!$F$52/worksheet!$F$8</f>
        <v>3.5076923076923125</v>
      </c>
      <c r="P78" s="44">
        <f>worksheet!$F$8*O78/worksheet!$F$29/worksheet!$J$11</f>
        <v>7.3494505494505598</v>
      </c>
      <c r="Q78" s="44" t="e">
        <f t="shared" si="5"/>
        <v>#VALUE!</v>
      </c>
      <c r="R78" s="44" t="e">
        <f>IF(Q78="DCM",1000/(1000/M78+worksheet!$F$43/1000),1000/(O78+P78+worksheet!$F$43/1000))</f>
        <v>#VALUE!</v>
      </c>
      <c r="S78" s="44">
        <f>N78/worksheet!$F$52</f>
        <v>1.7863247863247889</v>
      </c>
      <c r="T78" s="44" t="e">
        <f>0.5*worksheet!$F$62/100*worksheet!$F$29*S78*P78*R78/1000*worksheet!$J$11</f>
        <v>#VALUE!</v>
      </c>
    </row>
    <row r="79" spans="1:20">
      <c r="A79" s="44">
        <v>2.62</v>
      </c>
      <c r="B79" s="61">
        <f>IF(worksheet!$F$10="Rapid charger",IF(worksheet!$F$11&gt;20,40+(worksheet!$F$17-40)*(worksheet!$F$11-3)/(worksheet!$F$11-3),40+(worksheet!$F$17-40)*(worksheet!$F$11-3)/(worksheet!$F$14-3)),IF(worksheet!$F$18&gt;20,40+(worksheet!$F$17-40)*(worksheet!$F$18-3)/(worksheet!$F$14-3),40+(worksheet!$F$17-40)*(worksheet!$F$18-3)/(worksheet!$F$14-3)))</f>
        <v>67.35294117647058</v>
      </c>
      <c r="C79" s="60">
        <f t="shared" si="8"/>
        <v>0.36566666666666719</v>
      </c>
      <c r="D79" s="44">
        <f>1000*worksheet!$F$42*C79/worksheet!$F$52/worksheet!$F$8</f>
        <v>3.6822377622377669</v>
      </c>
      <c r="E79" s="44">
        <f>worksheet!$F$8*D79/worksheet!$F$29/worksheet!$F$11</f>
        <v>8.2662480376766201</v>
      </c>
      <c r="F79" s="44" t="str">
        <f t="shared" si="10"/>
        <v>DCM</v>
      </c>
      <c r="G79" s="44">
        <f>IF(F79="DCM",1000/(1000/B79+worksheet!$F$43/2/1000),1000/(D79+E79+worksheet!$F$43/2/1000))</f>
        <v>63.909354766688985</v>
      </c>
      <c r="H79" s="44">
        <f>C79/worksheet!$F$52</f>
        <v>1.8752136752136779</v>
      </c>
      <c r="I79" s="44">
        <f>0.5*worksheet!$F$62/100*worksheet!$F$29*H79*E79*G79/1000*worksheet!$F$11</f>
        <v>46.115116733668039</v>
      </c>
      <c r="J79" s="46">
        <f t="shared" si="11"/>
        <v>63.909354766688985</v>
      </c>
      <c r="L79" s="44">
        <v>2.62</v>
      </c>
      <c r="M79" s="44" t="str">
        <f>IF(worksheet!$F$10="Rapid charger",40+(worksheet!$F$17-40)*(worksheet!$J$11-3)/(worksheet!$F$14-3)," ")</f>
        <v xml:space="preserve"> </v>
      </c>
      <c r="N79" s="44">
        <f t="shared" si="9"/>
        <v>0.35266666666666718</v>
      </c>
      <c r="O79" s="44">
        <f>1000*worksheet!$F$42*N79/worksheet!$F$52/worksheet!$F$8</f>
        <v>3.5513286713286769</v>
      </c>
      <c r="P79" s="44">
        <f>worksheet!$F$8*O79/worksheet!$F$29/worksheet!$J$11</f>
        <v>7.4408791208791323</v>
      </c>
      <c r="Q79" s="44" t="e">
        <f t="shared" si="5"/>
        <v>#VALUE!</v>
      </c>
      <c r="R79" s="44" t="e">
        <f>IF(Q79="DCM",1000/(1000/M79+worksheet!$F$43/1000),1000/(O79+P79+worksheet!$F$43/1000))</f>
        <v>#VALUE!</v>
      </c>
      <c r="S79" s="44">
        <f>N79/worksheet!$F$52</f>
        <v>1.8085470085470112</v>
      </c>
      <c r="T79" s="44" t="e">
        <f>0.5*worksheet!$F$62/100*worksheet!$F$29*S79*P79*R79/1000*worksheet!$J$11</f>
        <v>#VALUE!</v>
      </c>
    </row>
    <row r="80" spans="1:20">
      <c r="A80" s="44">
        <v>2.64</v>
      </c>
      <c r="B80" s="61">
        <f>IF(worksheet!$F$10="Rapid charger",IF(worksheet!$F$11&gt;20,40+(worksheet!$F$17-40)*(worksheet!$F$11-3)/(worksheet!$F$11-3),40+(worksheet!$F$17-40)*(worksheet!$F$11-3)/(worksheet!$F$14-3)),IF(worksheet!$F$18&gt;20,40+(worksheet!$F$17-40)*(worksheet!$F$18-3)/(worksheet!$F$14-3),40+(worksheet!$F$17-40)*(worksheet!$F$18-3)/(worksheet!$F$14-3)))</f>
        <v>67.35294117647058</v>
      </c>
      <c r="C80" s="60">
        <f t="shared" si="8"/>
        <v>0.37050000000000055</v>
      </c>
      <c r="D80" s="44">
        <f>1000*worksheet!$F$42*C80/worksheet!$F$52/worksheet!$F$8</f>
        <v>3.7309090909090963</v>
      </c>
      <c r="E80" s="44">
        <f>worksheet!$F$8*D80/worksheet!$F$29/worksheet!$F$11</f>
        <v>8.3755102040816443</v>
      </c>
      <c r="F80" s="44" t="str">
        <f t="shared" si="10"/>
        <v>DCM</v>
      </c>
      <c r="G80" s="44">
        <f>IF(F80="DCM",1000/(1000/B80+worksheet!$F$43/2/1000),1000/(D80+E80+worksheet!$F$43/2/1000))</f>
        <v>63.909354766688985</v>
      </c>
      <c r="H80" s="44">
        <f>C80/worksheet!$F$52</f>
        <v>1.9000000000000028</v>
      </c>
      <c r="I80" s="44">
        <f>0.5*worksheet!$F$62/100*worksheet!$F$29*H80*E80*G80/1000*worksheet!$F$11</f>
        <v>47.342260549229863</v>
      </c>
      <c r="J80" s="46">
        <f t="shared" si="11"/>
        <v>63.909354766688985</v>
      </c>
      <c r="L80" s="44">
        <v>2.64</v>
      </c>
      <c r="M80" s="44" t="str">
        <f>IF(worksheet!$F$10="Rapid charger",40+(worksheet!$F$17-40)*(worksheet!$J$11-3)/(worksheet!$F$14-3)," ")</f>
        <v xml:space="preserve"> </v>
      </c>
      <c r="N80" s="44">
        <f t="shared" si="9"/>
        <v>0.35700000000000054</v>
      </c>
      <c r="O80" s="44">
        <f>1000*worksheet!$F$42*N80/worksheet!$F$52/worksheet!$F$8</f>
        <v>3.5949650349650404</v>
      </c>
      <c r="P80" s="44">
        <f>worksheet!$F$8*O80/worksheet!$F$29/worksheet!$J$11</f>
        <v>7.5323076923077048</v>
      </c>
      <c r="Q80" s="44" t="e">
        <f t="shared" si="5"/>
        <v>#VALUE!</v>
      </c>
      <c r="R80" s="44" t="e">
        <f>IF(Q80="DCM",1000/(1000/M80+worksheet!$F$43/1000),1000/(O80+P80+worksheet!$F$43/1000))</f>
        <v>#VALUE!</v>
      </c>
      <c r="S80" s="44">
        <f>N80/worksheet!$F$52</f>
        <v>1.8307692307692334</v>
      </c>
      <c r="T80" s="44" t="e">
        <f>0.5*worksheet!$F$62/100*worksheet!$F$29*S80*P80*R80/1000*worksheet!$J$11</f>
        <v>#VALUE!</v>
      </c>
    </row>
    <row r="81" spans="1:20">
      <c r="A81" s="44">
        <v>2.66</v>
      </c>
      <c r="B81" s="61">
        <f>IF(worksheet!$F$10="Rapid charger",IF(worksheet!$F$11&gt;20,40+(worksheet!$F$17-40)*(worksheet!$F$11-3)/(worksheet!$F$11-3),40+(worksheet!$F$17-40)*(worksheet!$F$11-3)/(worksheet!$F$14-3)),IF(worksheet!$F$18&gt;20,40+(worksheet!$F$17-40)*(worksheet!$F$18-3)/(worksheet!$F$14-3),40+(worksheet!$F$17-40)*(worksheet!$F$18-3)/(worksheet!$F$14-3)))</f>
        <v>67.35294117647058</v>
      </c>
      <c r="C81" s="60">
        <f t="shared" si="8"/>
        <v>0.37533333333333391</v>
      </c>
      <c r="D81" s="44">
        <f>1000*worksheet!$F$42*C81/worksheet!$F$52/worksheet!$F$8</f>
        <v>3.7795804195804257</v>
      </c>
      <c r="E81" s="44">
        <f>worksheet!$F$8*D81/worksheet!$F$29/worksheet!$F$11</f>
        <v>8.4847723704866702</v>
      </c>
      <c r="F81" s="44" t="str">
        <f t="shared" si="10"/>
        <v>DCM</v>
      </c>
      <c r="G81" s="44">
        <f>IF(F81="DCM",1000/(1000/B81+worksheet!$F$43/2/1000),1000/(D81+E81+worksheet!$F$43/2/1000))</f>
        <v>63.909354766688985</v>
      </c>
      <c r="H81" s="44">
        <f>C81/worksheet!$F$52</f>
        <v>1.9247863247863277</v>
      </c>
      <c r="I81" s="44">
        <f>0.5*worksheet!$F$62/100*worksheet!$F$29*H81*E81*G81/1000*worksheet!$F$11</f>
        <v>48.585518093861786</v>
      </c>
      <c r="J81" s="46">
        <f t="shared" si="11"/>
        <v>63.909354766688985</v>
      </c>
      <c r="L81" s="44">
        <v>2.66</v>
      </c>
      <c r="M81" s="44" t="str">
        <f>IF(worksheet!$F$10="Rapid charger",40+(worksheet!$F$17-40)*(worksheet!$J$11-3)/(worksheet!$F$14-3)," ")</f>
        <v xml:space="preserve"> </v>
      </c>
      <c r="N81" s="44">
        <f t="shared" si="9"/>
        <v>0.36133333333333389</v>
      </c>
      <c r="O81" s="44">
        <f>1000*worksheet!$F$42*N81/worksheet!$F$52/worksheet!$F$8</f>
        <v>3.6386013986014039</v>
      </c>
      <c r="P81" s="44">
        <f>worksheet!$F$8*O81/worksheet!$F$29/worksheet!$J$11</f>
        <v>7.6237362637362747</v>
      </c>
      <c r="Q81" s="44" t="e">
        <f t="shared" si="5"/>
        <v>#VALUE!</v>
      </c>
      <c r="R81" s="44" t="e">
        <f>IF(Q81="DCM",1000/(1000/M81+worksheet!$F$43/1000),1000/(O81+P81+worksheet!$F$43/1000))</f>
        <v>#VALUE!</v>
      </c>
      <c r="S81" s="44">
        <f>N81/worksheet!$F$52</f>
        <v>1.8529914529914557</v>
      </c>
      <c r="T81" s="44" t="e">
        <f>0.5*worksheet!$F$62/100*worksheet!$F$29*S81*P81*R81/1000*worksheet!$J$11</f>
        <v>#VALUE!</v>
      </c>
    </row>
    <row r="82" spans="1:20">
      <c r="A82" s="44">
        <v>2.68</v>
      </c>
      <c r="B82" s="61">
        <f>IF(worksheet!$F$10="Rapid charger",IF(worksheet!$F$11&gt;20,40+(worksheet!$F$17-40)*(worksheet!$F$11-3)/(worksheet!$F$11-3),40+(worksheet!$F$17-40)*(worksheet!$F$11-3)/(worksheet!$F$14-3)),IF(worksheet!$F$18&gt;20,40+(worksheet!$F$17-40)*(worksheet!$F$18-3)/(worksheet!$F$14-3),40+(worksheet!$F$17-40)*(worksheet!$F$18-3)/(worksheet!$F$14-3)))</f>
        <v>67.35294117647058</v>
      </c>
      <c r="C82" s="60">
        <f t="shared" si="8"/>
        <v>0.38016666666666726</v>
      </c>
      <c r="D82" s="44">
        <f>1000*worksheet!$F$42*C82/worksheet!$F$52/worksheet!$F$8</f>
        <v>3.8282517482517542</v>
      </c>
      <c r="E82" s="44">
        <f>worksheet!$F$8*D82/worksheet!$F$29/worksheet!$F$11</f>
        <v>8.5940345368916926</v>
      </c>
      <c r="F82" s="44" t="str">
        <f t="shared" si="10"/>
        <v>DCM</v>
      </c>
      <c r="G82" s="44">
        <f>IF(F82="DCM",1000/(1000/B82+worksheet!$F$43/2/1000),1000/(D82+E82+worksheet!$F$43/2/1000))</f>
        <v>63.909354766688985</v>
      </c>
      <c r="H82" s="44">
        <f>C82/worksheet!$F$52</f>
        <v>1.9495726495726526</v>
      </c>
      <c r="I82" s="44">
        <f>0.5*worksheet!$F$62/100*worksheet!$F$29*H82*E82*G82/1000*worksheet!$F$11</f>
        <v>49.844889367563795</v>
      </c>
      <c r="J82" s="46">
        <f t="shared" si="11"/>
        <v>63.909354766688985</v>
      </c>
      <c r="L82" s="44">
        <v>2.68</v>
      </c>
      <c r="M82" s="44" t="str">
        <f>IF(worksheet!$F$10="Rapid charger",40+(worksheet!$F$17-40)*(worksheet!$J$11-3)/(worksheet!$F$14-3)," ")</f>
        <v xml:space="preserve"> </v>
      </c>
      <c r="N82" s="44">
        <f t="shared" si="9"/>
        <v>0.36566666666666725</v>
      </c>
      <c r="O82" s="44">
        <f>1000*worksheet!$F$42*N82/worksheet!$F$52/worksheet!$F$8</f>
        <v>3.6822377622377682</v>
      </c>
      <c r="P82" s="44">
        <f>worksheet!$F$8*O82/worksheet!$F$29/worksheet!$J$11</f>
        <v>7.7151648351648472</v>
      </c>
      <c r="Q82" s="44" t="e">
        <f t="shared" si="5"/>
        <v>#VALUE!</v>
      </c>
      <c r="R82" s="44" t="e">
        <f>IF(Q82="DCM",1000/(1000/M82+worksheet!$F$43/1000),1000/(O82+P82+worksheet!$F$43/1000))</f>
        <v>#VALUE!</v>
      </c>
      <c r="S82" s="44">
        <f>N82/worksheet!$F$52</f>
        <v>1.8752136752136781</v>
      </c>
      <c r="T82" s="44" t="e">
        <f>0.5*worksheet!$F$62/100*worksheet!$F$29*S82*P82*R82/1000*worksheet!$J$11</f>
        <v>#VALUE!</v>
      </c>
    </row>
    <row r="83" spans="1:20">
      <c r="A83" s="44">
        <v>2.7</v>
      </c>
      <c r="B83" s="61">
        <f>IF(worksheet!$F$10="Rapid charger",IF(worksheet!$F$11&gt;20,40+(worksheet!$F$17-40)*(worksheet!$F$11-3)/(worksheet!$F$11-3),40+(worksheet!$F$17-40)*(worksheet!$F$11-3)/(worksheet!$F$14-3)),IF(worksheet!$F$18&gt;20,40+(worksheet!$F$17-40)*(worksheet!$F$18-3)/(worksheet!$F$14-3),40+(worksheet!$F$17-40)*(worksheet!$F$18-3)/(worksheet!$F$14-3)))</f>
        <v>67.35294117647058</v>
      </c>
      <c r="C83" s="60">
        <f t="shared" si="8"/>
        <v>0.38500000000000062</v>
      </c>
      <c r="D83" s="44">
        <f>1000*worksheet!$F$42*C83/worksheet!$F$52/worksheet!$F$8</f>
        <v>3.8769230769230831</v>
      </c>
      <c r="E83" s="44">
        <f>worksheet!$F$8*D83/worksheet!$F$29/worksheet!$F$11</f>
        <v>8.7032967032967168</v>
      </c>
      <c r="F83" s="44" t="str">
        <f t="shared" si="10"/>
        <v>DCM</v>
      </c>
      <c r="G83" s="44">
        <f>IF(F83="DCM",1000/(1000/B83+worksheet!$F$43/2/1000),1000/(D83+E83+worksheet!$F$43/2/1000))</f>
        <v>63.909354766688985</v>
      </c>
      <c r="H83" s="44">
        <f>C83/worksheet!$F$52</f>
        <v>1.9743589743589776</v>
      </c>
      <c r="I83" s="44">
        <f>0.5*worksheet!$F$62/100*worksheet!$F$29*H83*E83*G83/1000*worksheet!$F$11</f>
        <v>51.120374370335881</v>
      </c>
      <c r="J83" s="46">
        <f t="shared" si="11"/>
        <v>63.909354766688985</v>
      </c>
      <c r="L83" s="44">
        <v>2.7</v>
      </c>
      <c r="M83" s="44" t="str">
        <f>IF(worksheet!$F$10="Rapid charger",40+(worksheet!$F$17-40)*(worksheet!$J$11-3)/(worksheet!$F$14-3)," ")</f>
        <v xml:space="preserve"> </v>
      </c>
      <c r="N83" s="44">
        <f t="shared" si="9"/>
        <v>0.37000000000000061</v>
      </c>
      <c r="O83" s="44">
        <f>1000*worksheet!$F$42*N83/worksheet!$F$52/worksheet!$F$8</f>
        <v>3.7258741258741317</v>
      </c>
      <c r="P83" s="44">
        <f>worksheet!$F$8*O83/worksheet!$F$29/worksheet!$J$11</f>
        <v>7.8065934065934188</v>
      </c>
      <c r="Q83" s="44" t="e">
        <f t="shared" si="5"/>
        <v>#VALUE!</v>
      </c>
      <c r="R83" s="44" t="e">
        <f>IF(Q83="DCM",1000/(1000/M83+worksheet!$F$43/1000),1000/(O83+P83+worksheet!$F$43/1000))</f>
        <v>#VALUE!</v>
      </c>
      <c r="S83" s="44">
        <f>N83/worksheet!$F$52</f>
        <v>1.8974358974359005</v>
      </c>
      <c r="T83" s="44" t="e">
        <f>0.5*worksheet!$F$62/100*worksheet!$F$29*S83*P83*R83/1000*worksheet!$J$11</f>
        <v>#VALUE!</v>
      </c>
    </row>
    <row r="84" spans="1:20">
      <c r="A84" s="44">
        <v>2.72</v>
      </c>
      <c r="B84" s="61">
        <f>IF(worksheet!$F$10="Rapid charger",IF(worksheet!$F$11&gt;20,40+(worksheet!$F$17-40)*(worksheet!$F$11-3)/(worksheet!$F$11-3),40+(worksheet!$F$17-40)*(worksheet!$F$11-3)/(worksheet!$F$14-3)),IF(worksheet!$F$18&gt;20,40+(worksheet!$F$17-40)*(worksheet!$F$18-3)/(worksheet!$F$14-3),40+(worksheet!$F$17-40)*(worksheet!$F$18-3)/(worksheet!$F$14-3)))</f>
        <v>67.35294117647058</v>
      </c>
      <c r="C84" s="60">
        <f t="shared" si="8"/>
        <v>0.38983333333333398</v>
      </c>
      <c r="D84" s="44">
        <f>1000*worksheet!$F$42*C84/worksheet!$F$52/worksheet!$F$8</f>
        <v>3.9255944055944121</v>
      </c>
      <c r="E84" s="44">
        <f>worksheet!$F$8*D84/worksheet!$F$29/worksheet!$F$11</f>
        <v>8.812558869701741</v>
      </c>
      <c r="F84" s="44" t="str">
        <f t="shared" si="10"/>
        <v>DCM</v>
      </c>
      <c r="G84" s="44">
        <f>IF(F84="DCM",1000/(1000/B84+worksheet!$F$43/2/1000),1000/(D84+E84+worksheet!$F$43/2/1000))</f>
        <v>63.909354766688985</v>
      </c>
      <c r="H84" s="44">
        <f>C84/worksheet!$F$52</f>
        <v>1.9991452991453025</v>
      </c>
      <c r="I84" s="44">
        <f>0.5*worksheet!$F$62/100*worksheet!$F$29*H84*E84*G84/1000*worksheet!$F$11</f>
        <v>52.411973102178067</v>
      </c>
      <c r="J84" s="46">
        <f t="shared" si="11"/>
        <v>63.909354766688985</v>
      </c>
      <c r="L84" s="44">
        <v>2.72</v>
      </c>
      <c r="M84" s="44" t="str">
        <f>IF(worksheet!$F$10="Rapid charger",40+(worksheet!$F$17-40)*(worksheet!$J$11-3)/(worksheet!$F$14-3)," ")</f>
        <v xml:space="preserve"> </v>
      </c>
      <c r="N84" s="44">
        <f t="shared" si="9"/>
        <v>0.37433333333333396</v>
      </c>
      <c r="O84" s="44">
        <f>1000*worksheet!$F$42*N84/worksheet!$F$52/worksheet!$F$8</f>
        <v>3.7695104895104956</v>
      </c>
      <c r="P84" s="44">
        <f>worksheet!$F$8*O84/worksheet!$F$29/worksheet!$J$11</f>
        <v>7.8980219780219905</v>
      </c>
      <c r="Q84" s="44" t="e">
        <f t="shared" si="5"/>
        <v>#VALUE!</v>
      </c>
      <c r="R84" s="44" t="e">
        <f>IF(Q84="DCM",1000/(1000/M84+worksheet!$F$43/1000),1000/(O84+P84+worksheet!$F$43/1000))</f>
        <v>#VALUE!</v>
      </c>
      <c r="S84" s="44">
        <f>N84/worksheet!$F$52</f>
        <v>1.9196581196581228</v>
      </c>
      <c r="T84" s="44" t="e">
        <f>0.5*worksheet!$F$62/100*worksheet!$F$29*S84*P84*R84/1000*worksheet!$J$11</f>
        <v>#VALUE!</v>
      </c>
    </row>
    <row r="85" spans="1:20">
      <c r="A85" s="44">
        <v>2.74</v>
      </c>
      <c r="B85" s="61">
        <f>IF(worksheet!$F$10="Rapid charger",IF(worksheet!$F$11&gt;20,40+(worksheet!$F$17-40)*(worksheet!$F$11-3)/(worksheet!$F$11-3),40+(worksheet!$F$17-40)*(worksheet!$F$11-3)/(worksheet!$F$14-3)),IF(worksheet!$F$18&gt;20,40+(worksheet!$F$17-40)*(worksheet!$F$18-3)/(worksheet!$F$14-3),40+(worksheet!$F$17-40)*(worksheet!$F$18-3)/(worksheet!$F$14-3)))</f>
        <v>67.35294117647058</v>
      </c>
      <c r="C85" s="60">
        <f t="shared" si="8"/>
        <v>0.39466666666666733</v>
      </c>
      <c r="D85" s="44">
        <f>1000*worksheet!$F$42*C85/worksheet!$F$52/worksheet!$F$8</f>
        <v>3.974265734265741</v>
      </c>
      <c r="E85" s="44">
        <f>worksheet!$F$8*D85/worksheet!$F$29/worksheet!$F$11</f>
        <v>8.9218210361067651</v>
      </c>
      <c r="F85" s="44" t="str">
        <f t="shared" si="10"/>
        <v>DCM</v>
      </c>
      <c r="G85" s="44">
        <f>IF(F85="DCM",1000/(1000/B85+worksheet!$F$43/2/1000),1000/(D85+E85+worksheet!$F$43/2/1000))</f>
        <v>63.909354766688985</v>
      </c>
      <c r="H85" s="44">
        <f>C85/worksheet!$F$52</f>
        <v>2.0239316239316274</v>
      </c>
      <c r="I85" s="44">
        <f>0.5*worksheet!$F$62/100*worksheet!$F$29*H85*E85*G85/1000*worksheet!$F$11</f>
        <v>53.719685563090337</v>
      </c>
      <c r="J85" s="46">
        <f t="shared" si="11"/>
        <v>63.909354766688985</v>
      </c>
      <c r="L85" s="44">
        <v>2.74</v>
      </c>
      <c r="M85" s="44" t="str">
        <f>IF(worksheet!$F$10="Rapid charger",40+(worksheet!$F$17-40)*(worksheet!$J$11-3)/(worksheet!$F$14-3)," ")</f>
        <v xml:space="preserve"> </v>
      </c>
      <c r="N85" s="44">
        <f t="shared" si="9"/>
        <v>0.37866666666666732</v>
      </c>
      <c r="O85" s="44">
        <f>1000*worksheet!$F$42*N85/worksheet!$F$52/worksheet!$F$8</f>
        <v>3.81314685314686</v>
      </c>
      <c r="P85" s="44">
        <f>worksheet!$F$8*O85/worksheet!$F$29/worksheet!$J$11</f>
        <v>7.9894505494505639</v>
      </c>
      <c r="Q85" s="44" t="e">
        <f t="shared" si="5"/>
        <v>#VALUE!</v>
      </c>
      <c r="R85" s="44" t="e">
        <f>IF(Q85="DCM",1000/(1000/M85+worksheet!$F$43/1000),1000/(O85+P85+worksheet!$F$43/1000))</f>
        <v>#VALUE!</v>
      </c>
      <c r="S85" s="44">
        <f>N85/worksheet!$F$52</f>
        <v>1.9418803418803452</v>
      </c>
      <c r="T85" s="44" t="e">
        <f>0.5*worksheet!$F$62/100*worksheet!$F$29*S85*P85*R85/1000*worksheet!$J$11</f>
        <v>#VALUE!</v>
      </c>
    </row>
    <row r="86" spans="1:20">
      <c r="A86" s="44">
        <v>2.76</v>
      </c>
      <c r="B86" s="61">
        <f>IF(worksheet!$F$10="Rapid charger",IF(worksheet!$F$11&gt;20,40+(worksheet!$F$17-40)*(worksheet!$F$11-3)/(worksheet!$F$11-3),40+(worksheet!$F$17-40)*(worksheet!$F$11-3)/(worksheet!$F$14-3)),IF(worksheet!$F$18&gt;20,40+(worksheet!$F$17-40)*(worksheet!$F$18-3)/(worksheet!$F$14-3),40+(worksheet!$F$17-40)*(worksheet!$F$18-3)/(worksheet!$F$14-3)))</f>
        <v>67.35294117647058</v>
      </c>
      <c r="C86" s="60">
        <f t="shared" si="8"/>
        <v>0.39950000000000069</v>
      </c>
      <c r="D86" s="44">
        <f>1000*worksheet!$F$42*C86/worksheet!$F$52/worksheet!$F$8</f>
        <v>4.0229370629370695</v>
      </c>
      <c r="E86" s="44">
        <f>worksheet!$F$8*D86/worksheet!$F$29/worksheet!$F$11</f>
        <v>9.0310832025117893</v>
      </c>
      <c r="F86" s="44" t="str">
        <f t="shared" si="10"/>
        <v>DCM</v>
      </c>
      <c r="G86" s="44">
        <f>IF(F86="DCM",1000/(1000/B86+worksheet!$F$43/2/1000),1000/(D86+E86+worksheet!$F$43/2/1000))</f>
        <v>63.909354766688985</v>
      </c>
      <c r="H86" s="44">
        <f>C86/worksheet!$F$52</f>
        <v>2.0487179487179521</v>
      </c>
      <c r="I86" s="44">
        <f>0.5*worksheet!$F$62/100*worksheet!$F$29*H86*E86*G86/1000*worksheet!$F$11</f>
        <v>55.043511753072693</v>
      </c>
      <c r="J86" s="46">
        <f t="shared" si="11"/>
        <v>63.909354766688985</v>
      </c>
      <c r="L86" s="44">
        <v>2.76</v>
      </c>
      <c r="M86" s="44" t="str">
        <f>IF(worksheet!$F$10="Rapid charger",40+(worksheet!$F$17-40)*(worksheet!$J$11-3)/(worksheet!$F$14-3)," ")</f>
        <v xml:space="preserve"> </v>
      </c>
      <c r="N86" s="44">
        <f t="shared" si="9"/>
        <v>0.38300000000000067</v>
      </c>
      <c r="O86" s="44">
        <f>1000*worksheet!$F$42*N86/worksheet!$F$52/worksheet!$F$8</f>
        <v>3.8567832167832234</v>
      </c>
      <c r="P86" s="44">
        <f>worksheet!$F$8*O86/worksheet!$F$29/worksheet!$J$11</f>
        <v>8.0808791208791355</v>
      </c>
      <c r="Q86" s="44" t="e">
        <f t="shared" si="5"/>
        <v>#VALUE!</v>
      </c>
      <c r="R86" s="44" t="e">
        <f>IF(Q86="DCM",1000/(1000/M86+worksheet!$F$43/1000),1000/(O86+P86+worksheet!$F$43/1000))</f>
        <v>#VALUE!</v>
      </c>
      <c r="S86" s="44">
        <f>N86/worksheet!$F$52</f>
        <v>1.9641025641025676</v>
      </c>
      <c r="T86" s="44" t="e">
        <f>0.5*worksheet!$F$62/100*worksheet!$F$29*S86*P86*R86/1000*worksheet!$J$11</f>
        <v>#VALUE!</v>
      </c>
    </row>
    <row r="87" spans="1:20">
      <c r="A87" s="44">
        <v>2.78</v>
      </c>
      <c r="B87" s="61">
        <f>IF(worksheet!$F$10="Rapid charger",IF(worksheet!$F$11&gt;20,40+(worksheet!$F$17-40)*(worksheet!$F$11-3)/(worksheet!$F$11-3),40+(worksheet!$F$17-40)*(worksheet!$F$11-3)/(worksheet!$F$14-3)),IF(worksheet!$F$18&gt;20,40+(worksheet!$F$17-40)*(worksheet!$F$18-3)/(worksheet!$F$14-3),40+(worksheet!$F$17-40)*(worksheet!$F$18-3)/(worksheet!$F$14-3)))</f>
        <v>67.35294117647058</v>
      </c>
      <c r="C87" s="60">
        <f t="shared" si="8"/>
        <v>0.40433333333333404</v>
      </c>
      <c r="D87" s="44">
        <f>1000*worksheet!$F$42*C87/worksheet!$F$52/worksheet!$F$8</f>
        <v>4.0716083916083985</v>
      </c>
      <c r="E87" s="44">
        <f>worksheet!$F$8*D87/worksheet!$F$29/worksheet!$F$11</f>
        <v>9.1403453689168135</v>
      </c>
      <c r="F87" s="44" t="str">
        <f t="shared" si="10"/>
        <v>DCM</v>
      </c>
      <c r="G87" s="44">
        <f>IF(F87="DCM",1000/(1000/B87+worksheet!$F$43/2/1000),1000/(D87+E87+worksheet!$F$43/2/1000))</f>
        <v>63.909354766688985</v>
      </c>
      <c r="H87" s="44">
        <f>C87/worksheet!$F$52</f>
        <v>2.0735042735042772</v>
      </c>
      <c r="I87" s="44">
        <f>0.5*worksheet!$F$62/100*worksheet!$F$29*H87*E87*G87/1000*worksheet!$F$11</f>
        <v>56.383451672125155</v>
      </c>
      <c r="J87" s="46">
        <f t="shared" si="11"/>
        <v>63.909354766688985</v>
      </c>
      <c r="L87" s="44">
        <v>2.78</v>
      </c>
      <c r="M87" s="44" t="str">
        <f>IF(worksheet!$F$10="Rapid charger",40+(worksheet!$F$17-40)*(worksheet!$J$11-3)/(worksheet!$F$14-3)," ")</f>
        <v xml:space="preserve"> </v>
      </c>
      <c r="N87" s="44">
        <f t="shared" si="9"/>
        <v>0.38733333333333403</v>
      </c>
      <c r="O87" s="44">
        <f>1000*worksheet!$F$42*N87/worksheet!$F$52/worksheet!$F$8</f>
        <v>3.9004195804195874</v>
      </c>
      <c r="P87" s="44">
        <f>worksheet!$F$8*O87/worksheet!$F$29/worksheet!$J$11</f>
        <v>8.1723076923077063</v>
      </c>
      <c r="Q87" s="44" t="e">
        <f t="shared" si="5"/>
        <v>#VALUE!</v>
      </c>
      <c r="R87" s="44" t="e">
        <f>IF(Q87="DCM",1000/(1000/M87+worksheet!$F$43/1000),1000/(O87+P87+worksheet!$F$43/1000))</f>
        <v>#VALUE!</v>
      </c>
      <c r="S87" s="44">
        <f>N87/worksheet!$F$52</f>
        <v>1.9863247863247899</v>
      </c>
      <c r="T87" s="44" t="e">
        <f>0.5*worksheet!$F$62/100*worksheet!$F$29*S87*P87*R87/1000*worksheet!$J$11</f>
        <v>#VALUE!</v>
      </c>
    </row>
    <row r="88" spans="1:20">
      <c r="A88" s="44">
        <v>2.8</v>
      </c>
      <c r="B88" s="61">
        <f>IF(worksheet!$F$10="Rapid charger",IF(worksheet!$F$11&gt;20,40+(worksheet!$F$17-40)*(worksheet!$F$11-3)/(worksheet!$F$11-3),40+(worksheet!$F$17-40)*(worksheet!$F$11-3)/(worksheet!$F$14-3)),IF(worksheet!$F$18&gt;20,40+(worksheet!$F$17-40)*(worksheet!$F$18-3)/(worksheet!$F$14-3),40+(worksheet!$F$17-40)*(worksheet!$F$18-3)/(worksheet!$F$14-3)))</f>
        <v>67.35294117647058</v>
      </c>
      <c r="C88" s="60">
        <f t="shared" si="8"/>
        <v>0.4091666666666674</v>
      </c>
      <c r="D88" s="44">
        <f>1000*worksheet!$F$42*C88/worksheet!$F$52/worksheet!$F$8</f>
        <v>4.1202797202797266</v>
      </c>
      <c r="E88" s="44">
        <f>worksheet!$F$8*D88/worksheet!$F$29/worksheet!$F$11</f>
        <v>9.2496075353218341</v>
      </c>
      <c r="F88" s="44" t="str">
        <f t="shared" si="10"/>
        <v>DCM</v>
      </c>
      <c r="G88" s="44">
        <f>IF(F88="DCM",1000/(1000/B88+worksheet!$F$43/2/1000),1000/(D88+E88+worksheet!$F$43/2/1000))</f>
        <v>63.909354766688985</v>
      </c>
      <c r="H88" s="44">
        <f>C88/worksheet!$F$52</f>
        <v>2.0982905982906019</v>
      </c>
      <c r="I88" s="44">
        <f>0.5*worksheet!$F$62/100*worksheet!$F$29*H88*E88*G88/1000*worksheet!$F$11</f>
        <v>57.739505320247673</v>
      </c>
      <c r="J88" s="46">
        <f t="shared" si="11"/>
        <v>63.909354766688985</v>
      </c>
      <c r="L88" s="44">
        <v>2.8</v>
      </c>
      <c r="M88" s="44" t="str">
        <f>IF(worksheet!$F$10="Rapid charger",40+(worksheet!$F$17-40)*(worksheet!$J$11-3)/(worksheet!$F$14-3)," ")</f>
        <v xml:space="preserve"> </v>
      </c>
      <c r="N88" s="44">
        <f t="shared" si="9"/>
        <v>0.39166666666666738</v>
      </c>
      <c r="O88" s="44">
        <f>1000*worksheet!$F$42*N88/worksheet!$F$52/worksheet!$F$8</f>
        <v>3.9440559440559508</v>
      </c>
      <c r="P88" s="44">
        <f>worksheet!$F$8*O88/worksheet!$F$29/worksheet!$J$11</f>
        <v>8.2637362637362788</v>
      </c>
      <c r="Q88" s="44" t="e">
        <f t="shared" si="5"/>
        <v>#VALUE!</v>
      </c>
      <c r="R88" s="44" t="e">
        <f>IF(Q88="DCM",1000/(1000/M88+worksheet!$F$43/1000),1000/(O88+P88+worksheet!$F$43/1000))</f>
        <v>#VALUE!</v>
      </c>
      <c r="S88" s="44">
        <f>N88/worksheet!$F$52</f>
        <v>2.0085470085470121</v>
      </c>
      <c r="T88" s="44" t="e">
        <f>0.5*worksheet!$F$62/100*worksheet!$F$29*S88*P88*R88/1000*worksheet!$J$11</f>
        <v>#VALUE!</v>
      </c>
    </row>
    <row r="89" spans="1:20">
      <c r="A89" s="44">
        <v>2.82</v>
      </c>
      <c r="B89" s="61">
        <f>IF(worksheet!$F$10="Rapid charger",IF(worksheet!$F$11&gt;20,40+(worksheet!$F$17-40)*(worksheet!$F$11-3)/(worksheet!$F$11-3),40+(worksheet!$F$17-40)*(worksheet!$F$11-3)/(worksheet!$F$14-3)),IF(worksheet!$F$18&gt;20,40+(worksheet!$F$17-40)*(worksheet!$F$18-3)/(worksheet!$F$14-3),40+(worksheet!$F$17-40)*(worksheet!$F$18-3)/(worksheet!$F$14-3)))</f>
        <v>67.35294117647058</v>
      </c>
      <c r="C89" s="60">
        <f t="shared" si="8"/>
        <v>0.41400000000000076</v>
      </c>
      <c r="D89" s="44">
        <f>1000*worksheet!$F$42*C89/worksheet!$F$52/worksheet!$F$8</f>
        <v>4.1689510489510564</v>
      </c>
      <c r="E89" s="44">
        <f>worksheet!$F$8*D89/worksheet!$F$29/worksheet!$F$11</f>
        <v>9.3588697017268618</v>
      </c>
      <c r="F89" s="44" t="str">
        <f t="shared" si="10"/>
        <v>DCM</v>
      </c>
      <c r="G89" s="44">
        <f>IF(F89="DCM",1000/(1000/B89+worksheet!$F$43/2/1000),1000/(D89+E89+worksheet!$F$43/2/1000))</f>
        <v>63.909354766688985</v>
      </c>
      <c r="H89" s="44">
        <f>C89/worksheet!$F$52</f>
        <v>2.1230769230769271</v>
      </c>
      <c r="I89" s="44">
        <f>0.5*worksheet!$F$62/100*worksheet!$F$29*H89*E89*G89/1000*worksheet!$F$11</f>
        <v>59.111672697440326</v>
      </c>
      <c r="J89" s="46">
        <f t="shared" si="11"/>
        <v>63.909354766688985</v>
      </c>
      <c r="L89" s="44">
        <v>2.82</v>
      </c>
      <c r="M89" s="44" t="str">
        <f>IF(worksheet!$F$10="Rapid charger",40+(worksheet!$F$17-40)*(worksheet!$J$11-3)/(worksheet!$F$14-3)," ")</f>
        <v xml:space="preserve"> </v>
      </c>
      <c r="N89" s="44">
        <f t="shared" si="9"/>
        <v>0.39600000000000074</v>
      </c>
      <c r="O89" s="44">
        <f>1000*worksheet!$F$42*N89/worksheet!$F$52/worksheet!$F$8</f>
        <v>3.9876923076923148</v>
      </c>
      <c r="P89" s="44">
        <f>worksheet!$F$8*O89/worksheet!$F$29/worksheet!$J$11</f>
        <v>8.3551648351648495</v>
      </c>
      <c r="Q89" s="44" t="e">
        <f t="shared" si="5"/>
        <v>#VALUE!</v>
      </c>
      <c r="R89" s="44" t="e">
        <f>IF(Q89="DCM",1000/(1000/M89+worksheet!$F$43/1000),1000/(O89+P89+worksheet!$F$43/1000))</f>
        <v>#VALUE!</v>
      </c>
      <c r="S89" s="44">
        <f>N89/worksheet!$F$52</f>
        <v>2.0307692307692347</v>
      </c>
      <c r="T89" s="44" t="e">
        <f>0.5*worksheet!$F$62/100*worksheet!$F$29*S89*P89*R89/1000*worksheet!$J$11</f>
        <v>#VALUE!</v>
      </c>
    </row>
    <row r="90" spans="1:20">
      <c r="A90" s="44">
        <v>2.84</v>
      </c>
      <c r="B90" s="61">
        <f>IF(worksheet!$F$10="Rapid charger",IF(worksheet!$F$11&gt;20,40+(worksheet!$F$17-40)*(worksheet!$F$11-3)/(worksheet!$F$11-3),40+(worksheet!$F$17-40)*(worksheet!$F$11-3)/(worksheet!$F$14-3)),IF(worksheet!$F$18&gt;20,40+(worksheet!$F$17-40)*(worksheet!$F$18-3)/(worksheet!$F$14-3),40+(worksheet!$F$17-40)*(worksheet!$F$18-3)/(worksheet!$F$14-3)))</f>
        <v>67.35294117647058</v>
      </c>
      <c r="C90" s="60">
        <f t="shared" si="8"/>
        <v>0.41883333333333411</v>
      </c>
      <c r="D90" s="44">
        <f>1000*worksheet!$F$42*C90/worksheet!$F$52/worksheet!$F$8</f>
        <v>4.2176223776223853</v>
      </c>
      <c r="E90" s="44">
        <f>worksheet!$F$8*D90/worksheet!$F$29/worksheet!$F$11</f>
        <v>9.468131868131886</v>
      </c>
      <c r="F90" s="44" t="str">
        <f t="shared" si="10"/>
        <v>DCM</v>
      </c>
      <c r="G90" s="44">
        <f>IF(F90="DCM",1000/(1000/B90+worksheet!$F$43/2/1000),1000/(D90+E90+worksheet!$F$43/2/1000))</f>
        <v>63.909354766688985</v>
      </c>
      <c r="H90" s="44">
        <f>C90/worksheet!$F$52</f>
        <v>2.1478632478632518</v>
      </c>
      <c r="I90" s="44">
        <f>0.5*worksheet!$F$62/100*worksheet!$F$29*H90*E90*G90/1000*worksheet!$F$11</f>
        <v>60.49995380370305</v>
      </c>
      <c r="J90" s="46">
        <f t="shared" si="11"/>
        <v>63.909354766688985</v>
      </c>
      <c r="L90" s="44">
        <v>2.84</v>
      </c>
      <c r="M90" s="44" t="str">
        <f>IF(worksheet!$F$10="Rapid charger",40+(worksheet!$F$17-40)*(worksheet!$J$11-3)/(worksheet!$F$14-3)," ")</f>
        <v xml:space="preserve"> </v>
      </c>
      <c r="N90" s="44">
        <f t="shared" si="9"/>
        <v>0.4003333333333341</v>
      </c>
      <c r="O90" s="44">
        <f>1000*worksheet!$F$42*N90/worksheet!$F$52/worksheet!$F$8</f>
        <v>4.0313286713286791</v>
      </c>
      <c r="P90" s="44">
        <f>worksheet!$F$8*O90/worksheet!$F$29/worksheet!$J$11</f>
        <v>8.4465934065934238</v>
      </c>
      <c r="Q90" s="44" t="e">
        <f t="shared" ref="Q90:Q98" si="12">IF((O90+P90)&lt;(1000/M90),"DCM","CDCM")</f>
        <v>#VALUE!</v>
      </c>
      <c r="R90" s="44" t="e">
        <f>IF(Q90="DCM",1000/(1000/M90+worksheet!$F$43/1000),1000/(O90+P90+worksheet!$F$43/1000))</f>
        <v>#VALUE!</v>
      </c>
      <c r="S90" s="44">
        <f>N90/worksheet!$F$52</f>
        <v>2.0529914529914568</v>
      </c>
      <c r="T90" s="44" t="e">
        <f>0.5*worksheet!$F$62/100*worksheet!$F$29*S90*P90*R90/1000*worksheet!$J$11</f>
        <v>#VALUE!</v>
      </c>
    </row>
    <row r="91" spans="1:20">
      <c r="A91" s="44">
        <v>2.86</v>
      </c>
      <c r="B91" s="61">
        <f>IF(worksheet!$F$10="Rapid charger",IF(worksheet!$F$11&gt;20,40+(worksheet!$F$17-40)*(worksheet!$F$11-3)/(worksheet!$F$11-3),40+(worksheet!$F$17-40)*(worksheet!$F$11-3)/(worksheet!$F$14-3)),IF(worksheet!$F$18&gt;20,40+(worksheet!$F$17-40)*(worksheet!$F$18-3)/(worksheet!$F$14-3),40+(worksheet!$F$17-40)*(worksheet!$F$18-3)/(worksheet!$F$14-3)))</f>
        <v>67.35294117647058</v>
      </c>
      <c r="C91" s="60">
        <f t="shared" si="8"/>
        <v>0.42366666666666747</v>
      </c>
      <c r="D91" s="44">
        <f>1000*worksheet!$F$42*C91/worksheet!$F$52/worksheet!$F$8</f>
        <v>4.2662937062937143</v>
      </c>
      <c r="E91" s="44">
        <f>worksheet!$F$8*D91/worksheet!$F$29/worksheet!$F$11</f>
        <v>9.5773940345369084</v>
      </c>
      <c r="F91" s="44" t="str">
        <f t="shared" si="10"/>
        <v>DCM</v>
      </c>
      <c r="G91" s="44">
        <f>IF(F91="DCM",1000/(1000/B91+worksheet!$F$43/2/1000),1000/(D91+E91+worksheet!$F$43/2/1000))</f>
        <v>63.909354766688985</v>
      </c>
      <c r="H91" s="44">
        <f>C91/worksheet!$F$52</f>
        <v>2.1726495726495765</v>
      </c>
      <c r="I91" s="44">
        <f>0.5*worksheet!$F$62/100*worksheet!$F$29*H91*E91*G91/1000*worksheet!$F$11</f>
        <v>61.904348639035838</v>
      </c>
      <c r="J91" s="46">
        <f t="shared" si="11"/>
        <v>63.909354766688985</v>
      </c>
      <c r="L91" s="44">
        <v>2.86</v>
      </c>
      <c r="M91" s="44" t="str">
        <f>IF(worksheet!$F$10="Rapid charger",40+(worksheet!$F$17-40)*(worksheet!$J$11-3)/(worksheet!$F$14-3)," ")</f>
        <v xml:space="preserve"> </v>
      </c>
      <c r="N91" s="44">
        <f t="shared" si="9"/>
        <v>0.40466666666666745</v>
      </c>
      <c r="O91" s="44">
        <f>1000*worksheet!$F$42*N91/worksheet!$F$52/worksheet!$F$8</f>
        <v>4.074965034965043</v>
      </c>
      <c r="P91" s="44">
        <f>worksheet!$F$8*O91/worksheet!$F$29/worksheet!$J$11</f>
        <v>8.5380219780219946</v>
      </c>
      <c r="Q91" s="44" t="e">
        <f t="shared" si="12"/>
        <v>#VALUE!</v>
      </c>
      <c r="R91" s="44" t="e">
        <f>IF(Q91="DCM",1000/(1000/M91+worksheet!$F$43/1000),1000/(O91+P91+worksheet!$F$43/1000))</f>
        <v>#VALUE!</v>
      </c>
      <c r="S91" s="44">
        <f>N91/worksheet!$F$52</f>
        <v>2.0752136752136794</v>
      </c>
      <c r="T91" s="44" t="e">
        <f>0.5*worksheet!$F$62/100*worksheet!$F$29*S91*P91*R91/1000*worksheet!$J$11</f>
        <v>#VALUE!</v>
      </c>
    </row>
    <row r="92" spans="1:20">
      <c r="A92" s="44">
        <v>2.88</v>
      </c>
      <c r="B92" s="61">
        <f>IF(worksheet!$F$10="Rapid charger",IF(worksheet!$F$11&gt;20,40+(worksheet!$F$17-40)*(worksheet!$F$11-3)/(worksheet!$F$11-3),40+(worksheet!$F$17-40)*(worksheet!$F$11-3)/(worksheet!$F$14-3)),IF(worksheet!$F$18&gt;20,40+(worksheet!$F$17-40)*(worksheet!$F$18-3)/(worksheet!$F$14-3),40+(worksheet!$F$17-40)*(worksheet!$F$18-3)/(worksheet!$F$14-3)))</f>
        <v>67.35294117647058</v>
      </c>
      <c r="C92" s="60">
        <f t="shared" si="8"/>
        <v>0.42850000000000082</v>
      </c>
      <c r="D92" s="44">
        <f>1000*worksheet!$F$42*C92/worksheet!$F$52/worksheet!$F$8</f>
        <v>4.3149650349650432</v>
      </c>
      <c r="E92" s="44">
        <f>worksheet!$F$8*D92/worksheet!$F$29/worksheet!$F$11</f>
        <v>9.6866562009419344</v>
      </c>
      <c r="F92" s="44" t="str">
        <f t="shared" si="10"/>
        <v>DCM</v>
      </c>
      <c r="G92" s="44">
        <f>IF(F92="DCM",1000/(1000/B92+worksheet!$F$43/2/1000),1000/(D92+E92+worksheet!$F$43/2/1000))</f>
        <v>63.909354766688985</v>
      </c>
      <c r="H92" s="44">
        <f>C92/worksheet!$F$52</f>
        <v>2.1974358974359016</v>
      </c>
      <c r="I92" s="44">
        <f>0.5*worksheet!$F$62/100*worksheet!$F$29*H92*E92*G92/1000*worksheet!$F$11</f>
        <v>63.324857203438768</v>
      </c>
      <c r="J92" s="46">
        <f t="shared" si="11"/>
        <v>63.909354766688985</v>
      </c>
      <c r="L92" s="44">
        <v>2.88</v>
      </c>
      <c r="M92" s="44" t="str">
        <f>IF(worksheet!$F$10="Rapid charger",40+(worksheet!$F$17-40)*(worksheet!$J$11-3)/(worksheet!$F$14-3)," ")</f>
        <v xml:space="preserve"> </v>
      </c>
      <c r="N92" s="44">
        <f t="shared" si="9"/>
        <v>0.40900000000000081</v>
      </c>
      <c r="O92" s="44">
        <f>1000*worksheet!$F$42*N92/worksheet!$F$52/worksheet!$F$8</f>
        <v>4.1186013986014069</v>
      </c>
      <c r="P92" s="44">
        <f>worksheet!$F$8*O92/worksheet!$F$29/worksheet!$J$11</f>
        <v>8.6294505494505653</v>
      </c>
      <c r="Q92" s="44" t="e">
        <f t="shared" si="12"/>
        <v>#VALUE!</v>
      </c>
      <c r="R92" s="44" t="e">
        <f>IF(Q92="DCM",1000/(1000/M92+worksheet!$F$43/1000),1000/(O92+P92+worksheet!$F$43/1000))</f>
        <v>#VALUE!</v>
      </c>
      <c r="S92" s="44">
        <f>N92/worksheet!$F$52</f>
        <v>2.0974358974359015</v>
      </c>
      <c r="T92" s="44" t="e">
        <f>0.5*worksheet!$F$62/100*worksheet!$F$29*S92*P92*R92/1000*worksheet!$J$11</f>
        <v>#VALUE!</v>
      </c>
    </row>
    <row r="93" spans="1:20">
      <c r="A93" s="44">
        <v>2.9</v>
      </c>
      <c r="B93" s="61">
        <f>IF(worksheet!$F$10="Rapid charger",IF(worksheet!$F$11&gt;20,40+(worksheet!$F$17-40)*(worksheet!$F$11-3)/(worksheet!$F$11-3),40+(worksheet!$F$17-40)*(worksheet!$F$11-3)/(worksheet!$F$14-3)),IF(worksheet!$F$18&gt;20,40+(worksheet!$F$17-40)*(worksheet!$F$18-3)/(worksheet!$F$14-3),40+(worksheet!$F$17-40)*(worksheet!$F$18-3)/(worksheet!$F$14-3)))</f>
        <v>67.35294117647058</v>
      </c>
      <c r="C93" s="60">
        <f t="shared" si="8"/>
        <v>0.43333333333333418</v>
      </c>
      <c r="D93" s="44">
        <f>1000*worksheet!$F$42*C93/worksheet!$F$52/worksheet!$F$8</f>
        <v>4.3636363636363722</v>
      </c>
      <c r="E93" s="44">
        <f>worksheet!$F$8*D93/worksheet!$F$29/worksheet!$F$11</f>
        <v>9.7959183673469585</v>
      </c>
      <c r="F93" s="44" t="str">
        <f t="shared" si="10"/>
        <v>DCM</v>
      </c>
      <c r="G93" s="44">
        <f>IF(F93="DCM",1000/(1000/B93+worksheet!$F$43/2/1000),1000/(D93+E93+worksheet!$F$43/2/1000))</f>
        <v>63.909354766688985</v>
      </c>
      <c r="H93" s="44">
        <f>C93/worksheet!$F$52</f>
        <v>2.2222222222222263</v>
      </c>
      <c r="I93" s="44">
        <f>0.5*worksheet!$F$62/100*worksheet!$F$29*H93*E93*G93/1000*worksheet!$F$11</f>
        <v>64.761479496911747</v>
      </c>
      <c r="J93" s="46">
        <f t="shared" si="11"/>
        <v>63.909354766688985</v>
      </c>
      <c r="L93" s="44">
        <v>2.9</v>
      </c>
      <c r="M93" s="44" t="str">
        <f>IF(worksheet!$F$10="Rapid charger",40+(worksheet!$F$17-40)*(worksheet!$J$11-3)/(worksheet!$F$14-3)," ")</f>
        <v xml:space="preserve"> </v>
      </c>
      <c r="N93" s="44">
        <f t="shared" si="9"/>
        <v>0.41333333333333416</v>
      </c>
      <c r="O93" s="44">
        <f>1000*worksheet!$F$42*N93/worksheet!$F$52/worksheet!$F$8</f>
        <v>4.1622377622377709</v>
      </c>
      <c r="P93" s="44">
        <f>worksheet!$F$8*O93/worksheet!$F$29/worksheet!$J$11</f>
        <v>8.7208791208791396</v>
      </c>
      <c r="Q93" s="44" t="e">
        <f t="shared" si="12"/>
        <v>#VALUE!</v>
      </c>
      <c r="R93" s="44" t="e">
        <f>IF(Q93="DCM",1000/(1000/M93+worksheet!$F$43/1000),1000/(O93+P93+worksheet!$F$43/1000))</f>
        <v>#VALUE!</v>
      </c>
      <c r="S93" s="44">
        <f>N93/worksheet!$F$52</f>
        <v>2.1196581196581237</v>
      </c>
      <c r="T93" s="44" t="e">
        <f>0.5*worksheet!$F$62/100*worksheet!$F$29*S93*P93*R93/1000*worksheet!$J$11</f>
        <v>#VALUE!</v>
      </c>
    </row>
    <row r="94" spans="1:20">
      <c r="A94" s="44">
        <v>2.92</v>
      </c>
      <c r="B94" s="61">
        <f>IF(worksheet!$F$10="Rapid charger",IF(worksheet!$F$11&gt;20,40+(worksheet!$F$17-40)*(worksheet!$F$11-3)/(worksheet!$F$11-3),40+(worksheet!$F$17-40)*(worksheet!$F$11-3)/(worksheet!$F$14-3)),IF(worksheet!$F$18&gt;20,40+(worksheet!$F$17-40)*(worksheet!$F$18-3)/(worksheet!$F$14-3),40+(worksheet!$F$17-40)*(worksheet!$F$18-3)/(worksheet!$F$14-3)))</f>
        <v>67.35294117647058</v>
      </c>
      <c r="C94" s="60">
        <f t="shared" si="8"/>
        <v>0.43816666666666754</v>
      </c>
      <c r="D94" s="44">
        <f>1000*worksheet!$F$42*C94/worksheet!$F$52/worksheet!$F$8</f>
        <v>4.4123076923077011</v>
      </c>
      <c r="E94" s="44">
        <f>worksheet!$F$8*D94/worksheet!$F$29/worksheet!$F$11</f>
        <v>9.9051805337519827</v>
      </c>
      <c r="F94" s="44" t="str">
        <f t="shared" si="10"/>
        <v>DCM</v>
      </c>
      <c r="G94" s="44">
        <f>IF(F94="DCM",1000/(1000/B94+worksheet!$F$43/2/1000),1000/(D94+E94+worksheet!$F$43/2/1000))</f>
        <v>63.909354766688985</v>
      </c>
      <c r="H94" s="44">
        <f>C94/worksheet!$F$52</f>
        <v>2.2470085470085515</v>
      </c>
      <c r="I94" s="44">
        <f>0.5*worksheet!$F$62/100*worksheet!$F$29*H94*E94*G94/1000*worksheet!$F$11</f>
        <v>66.214215519454825</v>
      </c>
      <c r="J94" s="46">
        <f t="shared" si="11"/>
        <v>63.909354766688985</v>
      </c>
      <c r="L94" s="44">
        <v>2.92</v>
      </c>
      <c r="M94" s="44" t="str">
        <f>IF(worksheet!$F$10="Rapid charger",40+(worksheet!$F$17-40)*(worksheet!$J$11-3)/(worksheet!$F$14-3)," ")</f>
        <v xml:space="preserve"> </v>
      </c>
      <c r="N94" s="44">
        <f t="shared" si="9"/>
        <v>0.41766666666666752</v>
      </c>
      <c r="O94" s="44">
        <f>1000*worksheet!$F$42*N94/worksheet!$F$52/worksheet!$F$8</f>
        <v>4.2058741258741339</v>
      </c>
      <c r="P94" s="44">
        <f>worksheet!$F$8*O94/worksheet!$F$29/worksheet!$J$11</f>
        <v>8.8123076923077086</v>
      </c>
      <c r="Q94" s="44" t="e">
        <f t="shared" si="12"/>
        <v>#VALUE!</v>
      </c>
      <c r="R94" s="44" t="e">
        <f>IF(Q94="DCM",1000/(1000/M94+worksheet!$F$43/1000),1000/(O94+P94+worksheet!$F$43/1000))</f>
        <v>#VALUE!</v>
      </c>
      <c r="S94" s="44">
        <f>N94/worksheet!$F$52</f>
        <v>2.1418803418803463</v>
      </c>
      <c r="T94" s="44" t="e">
        <f>0.5*worksheet!$F$62/100*worksheet!$F$29*S94*P94*R94/1000*worksheet!$J$11</f>
        <v>#VALUE!</v>
      </c>
    </row>
    <row r="95" spans="1:20">
      <c r="A95" s="44">
        <v>2.94</v>
      </c>
      <c r="B95" s="61">
        <f>IF(worksheet!$F$10="Rapid charger",IF(worksheet!$F$11&gt;20,40+(worksheet!$F$17-40)*(worksheet!$F$11-3)/(worksheet!$F$11-3),40+(worksheet!$F$17-40)*(worksheet!$F$11-3)/(worksheet!$F$14-3)),IF(worksheet!$F$18&gt;20,40+(worksheet!$F$17-40)*(worksheet!$F$18-3)/(worksheet!$F$14-3),40+(worksheet!$F$17-40)*(worksheet!$F$18-3)/(worksheet!$F$14-3)))</f>
        <v>67.35294117647058</v>
      </c>
      <c r="C95" s="60">
        <f t="shared" si="8"/>
        <v>0.44300000000000089</v>
      </c>
      <c r="D95" s="44">
        <f>1000*worksheet!$F$42*C95/worksheet!$F$52/worksheet!$F$8</f>
        <v>4.4609790209790301</v>
      </c>
      <c r="E95" s="44">
        <f>worksheet!$F$8*D95/worksheet!$F$29/worksheet!$F$11</f>
        <v>10.014442700157007</v>
      </c>
      <c r="F95" s="44" t="str">
        <f t="shared" si="10"/>
        <v>DCM</v>
      </c>
      <c r="G95" s="44">
        <f>IF(F95="DCM",1000/(1000/B95+worksheet!$F$43/2/1000),1000/(D95+E95+worksheet!$F$43/2/1000))</f>
        <v>63.909354766688985</v>
      </c>
      <c r="H95" s="44">
        <f>C95/worksheet!$F$52</f>
        <v>2.2717948717948762</v>
      </c>
      <c r="I95" s="44">
        <f>0.5*worksheet!$F$62/100*worksheet!$F$29*H95*E95*G95/1000*worksheet!$F$11</f>
        <v>67.683065271068003</v>
      </c>
      <c r="J95" s="46">
        <f t="shared" si="11"/>
        <v>63.909354766688985</v>
      </c>
      <c r="L95" s="44">
        <v>2.94</v>
      </c>
      <c r="M95" s="44" t="str">
        <f>IF(worksheet!$F$10="Rapid charger",40+(worksheet!$F$17-40)*(worksheet!$J$11-3)/(worksheet!$F$14-3)," ")</f>
        <v xml:space="preserve"> </v>
      </c>
      <c r="N95" s="44">
        <f t="shared" si="9"/>
        <v>0.42200000000000087</v>
      </c>
      <c r="O95" s="44">
        <f>1000*worksheet!$F$42*N95/worksheet!$F$52/worksheet!$F$8</f>
        <v>4.2495104895104978</v>
      </c>
      <c r="P95" s="44">
        <f>worksheet!$F$8*O95/worksheet!$F$29/worksheet!$J$11</f>
        <v>8.9037362637362811</v>
      </c>
      <c r="Q95" s="44" t="e">
        <f t="shared" si="12"/>
        <v>#VALUE!</v>
      </c>
      <c r="R95" s="44" t="e">
        <f>IF(Q95="DCM",1000/(1000/M95+worksheet!$F$43/1000),1000/(O95+P95+worksheet!$F$43/1000))</f>
        <v>#VALUE!</v>
      </c>
      <c r="S95" s="44">
        <f>N95/worksheet!$F$52</f>
        <v>2.1641025641025684</v>
      </c>
      <c r="T95" s="44" t="e">
        <f>0.5*worksheet!$F$62/100*worksheet!$F$29*S95*P95*R95/1000*worksheet!$J$11</f>
        <v>#VALUE!</v>
      </c>
    </row>
    <row r="96" spans="1:20">
      <c r="A96" s="44">
        <v>2.96</v>
      </c>
      <c r="B96" s="61">
        <f>IF(worksheet!$F$10="Rapid charger",IF(worksheet!$F$11&gt;20,40+(worksheet!$F$17-40)*(worksheet!$F$11-3)/(worksheet!$F$11-3),40+(worksheet!$F$17-40)*(worksheet!$F$11-3)/(worksheet!$F$14-3)),IF(worksheet!$F$18&gt;20,40+(worksheet!$F$17-40)*(worksheet!$F$18-3)/(worksheet!$F$14-3),40+(worksheet!$F$17-40)*(worksheet!$F$18-3)/(worksheet!$F$14-3)))</f>
        <v>67.35294117647058</v>
      </c>
      <c r="C96" s="60">
        <f t="shared" si="8"/>
        <v>0.44783333333333425</v>
      </c>
      <c r="D96" s="44">
        <f>1000*worksheet!$F$42*C96/worksheet!$F$52/worksheet!$F$8</f>
        <v>4.5096503496503582</v>
      </c>
      <c r="E96" s="44">
        <f>worksheet!$F$8*D96/worksheet!$F$29/worksheet!$F$11</f>
        <v>10.123704866562028</v>
      </c>
      <c r="F96" s="44" t="str">
        <f t="shared" si="10"/>
        <v>DCM</v>
      </c>
      <c r="G96" s="44">
        <f>IF(F96="DCM",1000/(1000/B96+worksheet!$F$43/2/1000),1000/(D96+E96+worksheet!$F$43/2/1000))</f>
        <v>63.909354766688985</v>
      </c>
      <c r="H96" s="44">
        <f>C96/worksheet!$F$52</f>
        <v>2.2965811965812013</v>
      </c>
      <c r="I96" s="44">
        <f>0.5*worksheet!$F$62/100*worksheet!$F$29*H96*E96*G96/1000*worksheet!$F$11</f>
        <v>69.168028751751251</v>
      </c>
      <c r="J96" s="46">
        <f t="shared" si="11"/>
        <v>63.909354766688985</v>
      </c>
      <c r="L96" s="44">
        <v>2.96</v>
      </c>
      <c r="M96" s="44" t="str">
        <f>IF(worksheet!$F$10="Rapid charger",40+(worksheet!$F$17-40)*(worksheet!$J$11-3)/(worksheet!$F$14-3)," ")</f>
        <v xml:space="preserve"> </v>
      </c>
      <c r="N96" s="44">
        <f t="shared" si="9"/>
        <v>0.42633333333333423</v>
      </c>
      <c r="O96" s="44">
        <f>1000*worksheet!$F$42*N96/worksheet!$F$52/worksheet!$F$8</f>
        <v>4.2931468531468617</v>
      </c>
      <c r="P96" s="44">
        <f>worksheet!$F$8*O96/worksheet!$F$29/worksheet!$J$11</f>
        <v>8.9951648351648537</v>
      </c>
      <c r="Q96" s="44" t="e">
        <f t="shared" si="12"/>
        <v>#VALUE!</v>
      </c>
      <c r="R96" s="44" t="e">
        <f>IF(Q96="DCM",1000/(1000/M96+worksheet!$F$43/1000),1000/(O96+P96+worksheet!$F$43/1000))</f>
        <v>#VALUE!</v>
      </c>
      <c r="S96" s="44">
        <f>N96/worksheet!$F$52</f>
        <v>2.186324786324791</v>
      </c>
      <c r="T96" s="44" t="e">
        <f>0.5*worksheet!$F$62/100*worksheet!$F$29*S96*P96*R96/1000*worksheet!$J$11</f>
        <v>#VALUE!</v>
      </c>
    </row>
    <row r="97" spans="1:20">
      <c r="A97" s="44">
        <v>2.98</v>
      </c>
      <c r="B97" s="61">
        <f>IF(worksheet!$F$10="Rapid charger",IF(worksheet!$F$11&gt;20,40+(worksheet!$F$17-40)*(worksheet!$F$11-3)/(worksheet!$F$11-3),40+(worksheet!$F$17-40)*(worksheet!$F$11-3)/(worksheet!$F$14-3)),IF(worksheet!$F$18&gt;20,40+(worksheet!$F$17-40)*(worksheet!$F$18-3)/(worksheet!$F$14-3),40+(worksheet!$F$17-40)*(worksheet!$F$18-3)/(worksheet!$F$14-3)))</f>
        <v>67.35294117647058</v>
      </c>
      <c r="C97" s="60">
        <f t="shared" si="8"/>
        <v>0.45266666666666761</v>
      </c>
      <c r="D97" s="44">
        <f>1000*worksheet!$F$42*C97/worksheet!$F$52/worksheet!$F$8</f>
        <v>4.558321678321688</v>
      </c>
      <c r="E97" s="44">
        <f>worksheet!$F$8*D97/worksheet!$F$29/worksheet!$F$11</f>
        <v>10.232967032967055</v>
      </c>
      <c r="F97" s="44" t="str">
        <f t="shared" si="10"/>
        <v>DCM</v>
      </c>
      <c r="G97" s="44">
        <f>IF(F97="DCM",1000/(1000/B97+worksheet!$F$43/2/1000),1000/(D97+E97+worksheet!$F$43/2/1000))</f>
        <v>63.909354766688985</v>
      </c>
      <c r="H97" s="44">
        <f>C97/worksheet!$F$52</f>
        <v>2.321367521367526</v>
      </c>
      <c r="I97" s="44">
        <f>0.5*worksheet!$F$62/100*worksheet!$F$29*H97*E97*G97/1000*worksheet!$F$11</f>
        <v>70.669105961504613</v>
      </c>
      <c r="J97" s="46">
        <f t="shared" si="11"/>
        <v>63.909354766688985</v>
      </c>
      <c r="L97" s="44">
        <v>2.98</v>
      </c>
      <c r="M97" s="44" t="str">
        <f>IF(worksheet!$F$10="Rapid charger",40+(worksheet!$F$17-40)*(worksheet!$J$11-3)/(worksheet!$F$14-3)," ")</f>
        <v xml:space="preserve"> </v>
      </c>
      <c r="N97" s="44">
        <f t="shared" si="9"/>
        <v>0.43066666666666759</v>
      </c>
      <c r="O97" s="44">
        <f>1000*worksheet!$F$42*N97/worksheet!$F$52/worksheet!$F$8</f>
        <v>4.3367832167832265</v>
      </c>
      <c r="P97" s="44">
        <f>worksheet!$F$8*O97/worksheet!$F$29/worksheet!$J$11</f>
        <v>9.086593406593428</v>
      </c>
      <c r="Q97" s="44" t="e">
        <f t="shared" si="12"/>
        <v>#VALUE!</v>
      </c>
      <c r="R97" s="44" t="e">
        <f>IF(Q97="DCM",1000/(1000/M97+worksheet!$F$43/1000),1000/(O97+P97+worksheet!$F$43/1000))</f>
        <v>#VALUE!</v>
      </c>
      <c r="S97" s="44">
        <f>N97/worksheet!$F$52</f>
        <v>2.2085470085470131</v>
      </c>
      <c r="T97" s="44" t="e">
        <f>0.5*worksheet!$F$62/100*worksheet!$F$29*S97*P97*R97/1000*worksheet!$J$11</f>
        <v>#VALUE!</v>
      </c>
    </row>
    <row r="98" spans="1:20">
      <c r="A98" s="44">
        <v>3</v>
      </c>
      <c r="B98" s="61">
        <f>IF(worksheet!$F$10="Rapid charger",IF(worksheet!$F$11&gt;20,40+(worksheet!$F$17-40)*(worksheet!$F$11-3)/(worksheet!$F$11-3),40+(worksheet!$F$17-40)*(worksheet!$F$11-3)/(worksheet!$F$14-3)),IF(worksheet!$F$18&gt;20,40+(worksheet!$F$17-40)*(worksheet!$F$18-3)/(worksheet!$F$14-3),40+(worksheet!$F$17-40)*(worksheet!$F$18-3)/(worksheet!$F$14-3)))</f>
        <v>67.35294117647058</v>
      </c>
      <c r="C98" s="60">
        <f t="shared" si="8"/>
        <v>0.45750000000000096</v>
      </c>
      <c r="D98" s="44">
        <f>1000*worksheet!$F$42*C98/worksheet!$F$52/worksheet!$F$8</f>
        <v>4.6069930069930161</v>
      </c>
      <c r="E98" s="44">
        <f>worksheet!$F$8*D98/worksheet!$F$29/worksheet!$F$11</f>
        <v>10.342229199372076</v>
      </c>
      <c r="F98" s="44" t="str">
        <f t="shared" si="10"/>
        <v>CDCM</v>
      </c>
      <c r="G98" s="44">
        <f>IF(F98="DCM",1000/(1000/B98+worksheet!$F$43/2/1000),1000/(D98+E98+worksheet!$F$43/2/1000))</f>
        <v>63.495199121379287</v>
      </c>
      <c r="H98" s="44">
        <f>C98/worksheet!$F$52</f>
        <v>2.3461538461538511</v>
      </c>
      <c r="I98" s="44">
        <f>0.5*worksheet!$F$62/100*worksheet!$F$29*H98*E98*G98/1000*worksheet!$F$11</f>
        <v>71.718503687825503</v>
      </c>
      <c r="J98" s="46">
        <f t="shared" si="11"/>
        <v>63.495199121379287</v>
      </c>
      <c r="L98" s="44">
        <v>3</v>
      </c>
      <c r="M98" s="44" t="str">
        <f>IF(worksheet!$F$10="Rapid charger",40+(worksheet!$F$17-40)*(worksheet!$J$11-3)/(worksheet!$F$14-3)," ")</f>
        <v xml:space="preserve"> </v>
      </c>
      <c r="N98" s="44">
        <f t="shared" si="9"/>
        <v>0.43500000000000094</v>
      </c>
      <c r="O98" s="44">
        <f>1000*worksheet!$F$42*N98/worksheet!$F$52/worksheet!$F$8</f>
        <v>4.3804195804195896</v>
      </c>
      <c r="P98" s="44">
        <f>worksheet!$F$8*O98/worksheet!$F$29/worksheet!$J$11</f>
        <v>9.1780219780219969</v>
      </c>
      <c r="Q98" s="44" t="e">
        <f t="shared" si="12"/>
        <v>#VALUE!</v>
      </c>
      <c r="R98" s="44" t="e">
        <f>IF(Q98="DCM",1000/(1000/M98+worksheet!$F$43/1000),1000/(O98+P98+worksheet!$F$43/1000))</f>
        <v>#VALUE!</v>
      </c>
      <c r="S98" s="44">
        <f>N98/worksheet!$F$52</f>
        <v>2.2307692307692357</v>
      </c>
      <c r="T98" s="44" t="e">
        <f>0.5*worksheet!$F$62/100*worksheet!$F$29*S98*P98*R98/1000*worksheet!$J$11</f>
        <v>#VALUE!</v>
      </c>
    </row>
    <row r="99" spans="1:20">
      <c r="A99" s="44">
        <v>3.02</v>
      </c>
      <c r="B99" s="61">
        <f>IF(worksheet!$F$10="Rapid charger",IF(worksheet!$F$11&gt;20,40+(worksheet!$F$17-40)*(worksheet!$F$11-3)/(worksheet!$F$11-3),40+(worksheet!$F$17-40)*(worksheet!$F$11-3)/(worksheet!$F$14-3)),IF(worksheet!$F$18&gt;20,40+(worksheet!$F$17-40)*(worksheet!$F$18-3)/(worksheet!$F$14-3),40+(worksheet!$F$17-40)*(worksheet!$F$18-3)/(worksheet!$F$14-3)))</f>
        <v>67.35294117647058</v>
      </c>
      <c r="C99" s="60">
        <f t="shared" si="8"/>
        <v>0.46233333333333432</v>
      </c>
      <c r="D99" s="44">
        <f>1000*worksheet!$F$42*C99/worksheet!$F$52/worksheet!$F$8</f>
        <v>4.655664335664345</v>
      </c>
      <c r="E99" s="44">
        <f>worksheet!$F$8*D99/worksheet!$F$29/worksheet!$F$11</f>
        <v>10.451491365777102</v>
      </c>
      <c r="F99" s="44" t="str">
        <f t="shared" si="10"/>
        <v>CDCM</v>
      </c>
      <c r="G99" s="44">
        <f>IF(F99="DCM",1000/(1000/B99+worksheet!$F$43/2/1000),1000/(D99+E99+worksheet!$F$43/2/1000))</f>
        <v>62.864789832250388</v>
      </c>
      <c r="H99" s="44">
        <f>C99/worksheet!$F$52</f>
        <v>2.3709401709401758</v>
      </c>
      <c r="I99" s="44">
        <f>0.5*worksheet!$F$62/100*worksheet!$F$29*H99*E99*G99/1000*worksheet!$F$11</f>
        <v>72.514693287421878</v>
      </c>
      <c r="J99" s="46">
        <f t="shared" ref="J99:J113" si="13">B99</f>
        <v>67.35294117647058</v>
      </c>
      <c r="L99" s="44">
        <v>3.02</v>
      </c>
      <c r="M99" s="44" t="str">
        <f>IF(worksheet!$F$10="Rapid charger",40+(worksheet!$F$17-40)*(worksheet!$J$11-3)/(worksheet!$F$14-3)," ")</f>
        <v xml:space="preserve"> </v>
      </c>
      <c r="N99" s="44">
        <f t="shared" ref="N99:N112" si="14">N98+($N$113-$N$53)/60</f>
        <v>0.4393333333333343</v>
      </c>
      <c r="O99" s="44">
        <f>1000*worksheet!$F$42*N99/worksheet!$F$52/worksheet!$F$8</f>
        <v>4.4240559440559535</v>
      </c>
      <c r="P99" s="44">
        <f>worksheet!$F$8*O99/worksheet!$F$29/worksheet!$J$11</f>
        <v>9.2694505494505695</v>
      </c>
      <c r="Q99" s="44" t="e">
        <f t="shared" ref="Q99:Q113" si="15">IF((O99+P99)&lt;(1000/M99),"DCM","CDCM")</f>
        <v>#VALUE!</v>
      </c>
      <c r="R99" s="44" t="e">
        <f>IF(Q99="DCM",1000/(1000/M99+worksheet!$F$43/1000),1000/(O99+P99+worksheet!$F$43/1000))</f>
        <v>#VALUE!</v>
      </c>
      <c r="S99" s="44">
        <f>N99/worksheet!$F$52</f>
        <v>2.2529914529914579</v>
      </c>
      <c r="T99" s="44" t="e">
        <f>0.5*worksheet!$F$62/100*worksheet!$F$29*S99*P99*R99/1000*worksheet!$J$11</f>
        <v>#VALUE!</v>
      </c>
    </row>
    <row r="100" spans="1:20">
      <c r="A100" s="44">
        <v>3.04</v>
      </c>
      <c r="B100" s="61">
        <f>IF(worksheet!$F$10="Rapid charger",IF(worksheet!$F$11&gt;20,40+(worksheet!$F$17-40)*(worksheet!$F$11-3)/(worksheet!$F$11-3),40+(worksheet!$F$17-40)*(worksheet!$F$11-3)/(worksheet!$F$14-3)),IF(worksheet!$F$18&gt;20,40+(worksheet!$F$17-40)*(worksheet!$F$18-3)/(worksheet!$F$14-3),40+(worksheet!$F$17-40)*(worksheet!$F$18-3)/(worksheet!$F$14-3)))</f>
        <v>67.35294117647058</v>
      </c>
      <c r="C100" s="60">
        <f t="shared" si="8"/>
        <v>0.46716666666666767</v>
      </c>
      <c r="D100" s="44">
        <f>1000*worksheet!$F$42*C100/worksheet!$F$52/worksheet!$F$8</f>
        <v>4.7043356643356748</v>
      </c>
      <c r="E100" s="44">
        <f>worksheet!$F$8*D100/worksheet!$F$29/worksheet!$F$11</f>
        <v>10.560753532182128</v>
      </c>
      <c r="F100" s="44" t="str">
        <f t="shared" si="10"/>
        <v>CDCM</v>
      </c>
      <c r="G100" s="44">
        <f>IF(F100="DCM",1000/(1000/B100+worksheet!$F$43/2/1000),1000/(D100+E100+worksheet!$F$43/2/1000))</f>
        <v>62.246775462457784</v>
      </c>
      <c r="H100" s="44">
        <f>C100/worksheet!$F$52</f>
        <v>2.395726495726501</v>
      </c>
      <c r="I100" s="44">
        <f>0.5*worksheet!$F$62/100*worksheet!$F$29*H100*E100*G100/1000*worksheet!$F$11</f>
        <v>73.310922980780859</v>
      </c>
      <c r="J100" s="46">
        <f t="shared" si="13"/>
        <v>67.35294117647058</v>
      </c>
      <c r="L100" s="44">
        <v>3.04</v>
      </c>
      <c r="M100" s="44" t="str">
        <f>IF(worksheet!$F$10="Rapid charger",40+(worksheet!$F$17-40)*(worksheet!$J$11-3)/(worksheet!$F$14-3)," ")</f>
        <v xml:space="preserve"> </v>
      </c>
      <c r="N100" s="44">
        <f t="shared" si="14"/>
        <v>0.44366666666666765</v>
      </c>
      <c r="O100" s="44">
        <f>1000*worksheet!$F$42*N100/worksheet!$F$52/worksheet!$F$8</f>
        <v>4.4676923076923174</v>
      </c>
      <c r="P100" s="44">
        <f>worksheet!$F$8*O100/worksheet!$F$29/worksheet!$J$11</f>
        <v>9.3608791208791402</v>
      </c>
      <c r="Q100" s="44" t="e">
        <f t="shared" si="15"/>
        <v>#VALUE!</v>
      </c>
      <c r="R100" s="44" t="e">
        <f>IF(Q100="DCM",1000/(1000/M100+worksheet!$F$43/1000),1000/(O100+P100+worksheet!$F$43/1000))</f>
        <v>#VALUE!</v>
      </c>
      <c r="S100" s="44">
        <f>N100/worksheet!$F$52</f>
        <v>2.27521367521368</v>
      </c>
      <c r="T100" s="44" t="e">
        <f>0.5*worksheet!$F$62/100*worksheet!$F$29*S100*P100*R100/1000*worksheet!$J$11</f>
        <v>#VALUE!</v>
      </c>
    </row>
    <row r="101" spans="1:20">
      <c r="A101" s="44">
        <v>3.06</v>
      </c>
      <c r="B101" s="61">
        <f>IF(worksheet!$F$10="Rapid charger",IF(worksheet!$F$11&gt;20,40+(worksheet!$F$17-40)*(worksheet!$F$11-3)/(worksheet!$F$11-3),40+(worksheet!$F$17-40)*(worksheet!$F$11-3)/(worksheet!$F$14-3)),IF(worksheet!$F$18&gt;20,40+(worksheet!$F$17-40)*(worksheet!$F$18-3)/(worksheet!$F$14-3),40+(worksheet!$F$17-40)*(worksheet!$F$18-3)/(worksheet!$F$14-3)))</f>
        <v>67.35294117647058</v>
      </c>
      <c r="C101" s="60">
        <f t="shared" si="8"/>
        <v>0.47200000000000103</v>
      </c>
      <c r="D101" s="44">
        <f>1000*worksheet!$F$42*C101/worksheet!$F$52/worksheet!$F$8</f>
        <v>4.7530069930070029</v>
      </c>
      <c r="E101" s="44">
        <f>worksheet!$F$8*D101/worksheet!$F$29/worksheet!$F$11</f>
        <v>10.67001569858715</v>
      </c>
      <c r="F101" s="44" t="str">
        <f t="shared" si="10"/>
        <v>CDCM</v>
      </c>
      <c r="G101" s="44">
        <f>IF(F101="DCM",1000/(1000/B101+worksheet!$F$43/2/1000),1000/(D101+E101+worksheet!$F$43/2/1000))</f>
        <v>61.640794012951922</v>
      </c>
      <c r="H101" s="44">
        <f>C101/worksheet!$F$52</f>
        <v>2.4205128205128257</v>
      </c>
      <c r="I101" s="44">
        <f>0.5*worksheet!$F$62/100*worksheet!$F$29*H101*E101*G101/1000*worksheet!$F$11</f>
        <v>74.107191596946521</v>
      </c>
      <c r="J101" s="46">
        <f t="shared" si="13"/>
        <v>67.35294117647058</v>
      </c>
      <c r="L101" s="44">
        <v>3.06</v>
      </c>
      <c r="M101" s="44" t="str">
        <f>IF(worksheet!$F$10="Rapid charger",40+(worksheet!$F$17-40)*(worksheet!$J$11-3)/(worksheet!$F$14-3)," ")</f>
        <v xml:space="preserve"> </v>
      </c>
      <c r="N101" s="44">
        <f t="shared" si="14"/>
        <v>0.44800000000000101</v>
      </c>
      <c r="O101" s="44">
        <f>1000*worksheet!$F$42*N101/worksheet!$F$52/worksheet!$F$8</f>
        <v>4.5113286713286813</v>
      </c>
      <c r="P101" s="44">
        <f>worksheet!$F$8*O101/worksheet!$F$29/worksheet!$J$11</f>
        <v>9.4523076923077145</v>
      </c>
      <c r="Q101" s="44" t="e">
        <f t="shared" si="15"/>
        <v>#VALUE!</v>
      </c>
      <c r="R101" s="44" t="e">
        <f>IF(Q101="DCM",1000/(1000/M101+worksheet!$F$43/1000),1000/(O101+P101+worksheet!$F$43/1000))</f>
        <v>#VALUE!</v>
      </c>
      <c r="S101" s="44">
        <f>N101/worksheet!$F$52</f>
        <v>2.2974358974359026</v>
      </c>
      <c r="T101" s="44" t="e">
        <f>0.5*worksheet!$F$62/100*worksheet!$F$29*S101*P101*R101/1000*worksheet!$J$11</f>
        <v>#VALUE!</v>
      </c>
    </row>
    <row r="102" spans="1:20">
      <c r="A102" s="44">
        <v>3.08</v>
      </c>
      <c r="B102" s="61">
        <f>IF(worksheet!$F$10="Rapid charger",IF(worksheet!$F$11&gt;20,40+(worksheet!$F$17-40)*(worksheet!$F$11-3)/(worksheet!$F$11-3),40+(worksheet!$F$17-40)*(worksheet!$F$11-3)/(worksheet!$F$14-3)),IF(worksheet!$F$18&gt;20,40+(worksheet!$F$17-40)*(worksheet!$F$18-3)/(worksheet!$F$14-3),40+(worksheet!$F$17-40)*(worksheet!$F$18-3)/(worksheet!$F$14-3)))</f>
        <v>67.35294117647058</v>
      </c>
      <c r="C102" s="60">
        <f t="shared" si="8"/>
        <v>0.47683333333333439</v>
      </c>
      <c r="D102" s="44">
        <f>1000*worksheet!$F$42*C102/worksheet!$F$52/worksheet!$F$8</f>
        <v>4.8016783216783328</v>
      </c>
      <c r="E102" s="44">
        <f>worksheet!$F$8*D102/worksheet!$F$29/worksheet!$F$11</f>
        <v>10.779277864992176</v>
      </c>
      <c r="F102" s="44" t="str">
        <f t="shared" si="10"/>
        <v>CDCM</v>
      </c>
      <c r="G102" s="44">
        <f>IF(F102="DCM",1000/(1000/B102+worksheet!$F$43/2/1000),1000/(D102+E102+worksheet!$F$43/2/1000))</f>
        <v>61.046497445229647</v>
      </c>
      <c r="H102" s="44">
        <f>C102/worksheet!$F$52</f>
        <v>2.4452991452991508</v>
      </c>
      <c r="I102" s="44">
        <f>0.5*worksheet!$F$62/100*worksheet!$F$29*H102*E102*G102/1000*worksheet!$F$11</f>
        <v>74.903498010121112</v>
      </c>
      <c r="J102" s="46">
        <f t="shared" si="13"/>
        <v>67.35294117647058</v>
      </c>
      <c r="L102" s="44">
        <v>3.08</v>
      </c>
      <c r="M102" s="44" t="str">
        <f>IF(worksheet!$F$10="Rapid charger",40+(worksheet!$F$17-40)*(worksheet!$J$11-3)/(worksheet!$F$14-3)," ")</f>
        <v xml:space="preserve"> </v>
      </c>
      <c r="N102" s="44">
        <f t="shared" si="14"/>
        <v>0.45233333333333436</v>
      </c>
      <c r="O102" s="44">
        <f>1000*worksheet!$F$42*N102/worksheet!$F$52/worksheet!$F$8</f>
        <v>4.5549650349650452</v>
      </c>
      <c r="P102" s="44">
        <f>worksheet!$F$8*O102/worksheet!$F$29/worksheet!$J$11</f>
        <v>9.5437362637362853</v>
      </c>
      <c r="Q102" s="44" t="e">
        <f t="shared" si="15"/>
        <v>#VALUE!</v>
      </c>
      <c r="R102" s="44" t="e">
        <f>IF(Q102="DCM",1000/(1000/M102+worksheet!$F$43/1000),1000/(O102+P102+worksheet!$F$43/1000))</f>
        <v>#VALUE!</v>
      </c>
      <c r="S102" s="44">
        <f>N102/worksheet!$F$52</f>
        <v>2.3196581196581247</v>
      </c>
      <c r="T102" s="44" t="e">
        <f>0.5*worksheet!$F$62/100*worksheet!$F$29*S102*P102*R102/1000*worksheet!$J$11</f>
        <v>#VALUE!</v>
      </c>
    </row>
    <row r="103" spans="1:20">
      <c r="A103" s="44">
        <v>3.1</v>
      </c>
      <c r="B103" s="61">
        <f>IF(worksheet!$F$10="Rapid charger",IF(worksheet!$F$11&gt;20,40+(worksheet!$F$17-40)*(worksheet!$F$11-3)/(worksheet!$F$11-3),40+(worksheet!$F$17-40)*(worksheet!$F$11-3)/(worksheet!$F$14-3)),IF(worksheet!$F$18&gt;20,40+(worksheet!$F$17-40)*(worksheet!$F$18-3)/(worksheet!$F$14-3),40+(worksheet!$F$17-40)*(worksheet!$F$18-3)/(worksheet!$F$14-3)))</f>
        <v>67.35294117647058</v>
      </c>
      <c r="C103" s="60">
        <f t="shared" si="8"/>
        <v>0.48166666666666774</v>
      </c>
      <c r="D103" s="44">
        <f>1000*worksheet!$F$42*C103/worksheet!$F$52/worksheet!$F$8</f>
        <v>4.8503496503496608</v>
      </c>
      <c r="E103" s="44">
        <f>worksheet!$F$8*D103/worksheet!$F$29/worksheet!$F$11</f>
        <v>10.888540031397199</v>
      </c>
      <c r="F103" s="44" t="str">
        <f t="shared" si="10"/>
        <v>CDCM</v>
      </c>
      <c r="G103" s="44">
        <f>IF(F103="DCM",1000/(1000/B103+worksheet!$F$43/2/1000),1000/(D103+E103+worksheet!$F$43/2/1000))</f>
        <v>60.463551014772754</v>
      </c>
      <c r="H103" s="44">
        <f>C103/worksheet!$F$52</f>
        <v>2.4700854700854755</v>
      </c>
      <c r="I103" s="44">
        <f>0.5*worksheet!$F$62/100*worksheet!$F$29*H103*E103*G103/1000*worksheet!$F$11</f>
        <v>75.699841137508699</v>
      </c>
      <c r="J103" s="46">
        <f t="shared" si="13"/>
        <v>67.35294117647058</v>
      </c>
      <c r="L103" s="44">
        <v>3.1</v>
      </c>
      <c r="M103" s="44" t="str">
        <f>IF(worksheet!$F$10="Rapid charger",40+(worksheet!$F$17-40)*(worksheet!$J$11-3)/(worksheet!$F$14-3)," ")</f>
        <v xml:space="preserve"> </v>
      </c>
      <c r="N103" s="44">
        <f t="shared" si="14"/>
        <v>0.45666666666666772</v>
      </c>
      <c r="O103" s="44">
        <f>1000*worksheet!$F$42*N103/worksheet!$F$52/worksheet!$F$8</f>
        <v>4.5986013986014092</v>
      </c>
      <c r="P103" s="44">
        <f>worksheet!$F$8*O103/worksheet!$F$29/worksheet!$J$11</f>
        <v>9.6351648351648578</v>
      </c>
      <c r="Q103" s="44" t="e">
        <f t="shared" si="15"/>
        <v>#VALUE!</v>
      </c>
      <c r="R103" s="44" t="e">
        <f>IF(Q103="DCM",1000/(1000/M103+worksheet!$F$43/1000),1000/(O103+P103+worksheet!$F$43/1000))</f>
        <v>#VALUE!</v>
      </c>
      <c r="S103" s="44">
        <f>N103/worksheet!$F$52</f>
        <v>2.3418803418803473</v>
      </c>
      <c r="T103" s="44" t="e">
        <f>0.5*worksheet!$F$62/100*worksheet!$F$29*S103*P103*R103/1000*worksheet!$J$11</f>
        <v>#VALUE!</v>
      </c>
    </row>
    <row r="104" spans="1:20">
      <c r="A104" s="44">
        <v>3.12</v>
      </c>
      <c r="B104" s="61">
        <f>IF(worksheet!$F$10="Rapid charger",IF(worksheet!$F$11&gt;20,40+(worksheet!$F$17-40)*(worksheet!$F$11-3)/(worksheet!$F$11-3),40+(worksheet!$F$17-40)*(worksheet!$F$11-3)/(worksheet!$F$14-3)),IF(worksheet!$F$18&gt;20,40+(worksheet!$F$17-40)*(worksheet!$F$18-3)/(worksheet!$F$14-3),40+(worksheet!$F$17-40)*(worksheet!$F$18-3)/(worksheet!$F$14-3)))</f>
        <v>67.35294117647058</v>
      </c>
      <c r="C104" s="60">
        <f t="shared" si="8"/>
        <v>0.4865000000000011</v>
      </c>
      <c r="D104" s="44">
        <f>1000*worksheet!$F$42*C104/worksheet!$F$52/worksheet!$F$8</f>
        <v>4.8990209790209889</v>
      </c>
      <c r="E104" s="44">
        <f>worksheet!$F$8*D104/worksheet!$F$29/worksheet!$F$11</f>
        <v>10.997802197802219</v>
      </c>
      <c r="F104" s="44" t="str">
        <f t="shared" si="10"/>
        <v>CDCM</v>
      </c>
      <c r="G104" s="44">
        <f>IF(F104="DCM",1000/(1000/B104+worksheet!$F$43/2/1000),1000/(D104+E104+worksheet!$F$43/2/1000))</f>
        <v>59.891632642315805</v>
      </c>
      <c r="H104" s="44">
        <f>C104/worksheet!$F$52</f>
        <v>2.4948717948718002</v>
      </c>
      <c r="I104" s="44">
        <f>0.5*worksheet!$F$62/100*worksheet!$F$29*H104*E104*G104/1000*worksheet!$F$11</f>
        <v>76.496219937281708</v>
      </c>
      <c r="J104" s="46">
        <f t="shared" si="13"/>
        <v>67.35294117647058</v>
      </c>
      <c r="L104" s="44">
        <v>3.12</v>
      </c>
      <c r="M104" s="44" t="str">
        <f>IF(worksheet!$F$10="Rapid charger",40+(worksheet!$F$17-40)*(worksheet!$J$11-3)/(worksheet!$F$14-3)," ")</f>
        <v xml:space="preserve"> </v>
      </c>
      <c r="N104" s="44">
        <f t="shared" si="14"/>
        <v>0.46100000000000108</v>
      </c>
      <c r="O104" s="44">
        <f>1000*worksheet!$F$42*N104/worksheet!$F$52/worksheet!$F$8</f>
        <v>4.6422377622377731</v>
      </c>
      <c r="P104" s="44">
        <f>worksheet!$F$8*O104/worksheet!$F$29/worksheet!$J$11</f>
        <v>9.7265934065934285</v>
      </c>
      <c r="Q104" s="44" t="e">
        <f t="shared" si="15"/>
        <v>#VALUE!</v>
      </c>
      <c r="R104" s="44" t="e">
        <f>IF(Q104="DCM",1000/(1000/M104+worksheet!$F$43/1000),1000/(O104+P104+worksheet!$F$43/1000))</f>
        <v>#VALUE!</v>
      </c>
      <c r="S104" s="44">
        <f>N104/worksheet!$F$52</f>
        <v>2.3641025641025695</v>
      </c>
      <c r="T104" s="44" t="e">
        <f>0.5*worksheet!$F$62/100*worksheet!$F$29*S104*P104*R104/1000*worksheet!$J$11</f>
        <v>#VALUE!</v>
      </c>
    </row>
    <row r="105" spans="1:20">
      <c r="A105" s="44">
        <v>3.14</v>
      </c>
      <c r="B105" s="61">
        <f>IF(worksheet!$F$10="Rapid charger",IF(worksheet!$F$11&gt;20,40+(worksheet!$F$17-40)*(worksheet!$F$11-3)/(worksheet!$F$11-3),40+(worksheet!$F$17-40)*(worksheet!$F$11-3)/(worksheet!$F$14-3)),IF(worksheet!$F$18&gt;20,40+(worksheet!$F$17-40)*(worksheet!$F$18-3)/(worksheet!$F$14-3),40+(worksheet!$F$17-40)*(worksheet!$F$18-3)/(worksheet!$F$14-3)))</f>
        <v>67.35294117647058</v>
      </c>
      <c r="C105" s="60">
        <f t="shared" si="8"/>
        <v>0.49133333333333445</v>
      </c>
      <c r="D105" s="44">
        <f>1000*worksheet!$F$42*C105/worksheet!$F$52/worksheet!$F$8</f>
        <v>4.9476923076923187</v>
      </c>
      <c r="E105" s="44">
        <f>worksheet!$F$8*D105/worksheet!$F$29/worksheet!$F$11</f>
        <v>11.107064364207245</v>
      </c>
      <c r="F105" s="44" t="str">
        <f t="shared" si="10"/>
        <v>CDCM</v>
      </c>
      <c r="G105" s="44">
        <f>IF(F105="DCM",1000/(1000/B105+worksheet!$F$43/2/1000),1000/(D105+E105+worksheet!$F$43/2/1000))</f>
        <v>59.330432320462442</v>
      </c>
      <c r="H105" s="44">
        <f>C105/worksheet!$F$52</f>
        <v>2.5196581196581254</v>
      </c>
      <c r="I105" s="44">
        <f>0.5*worksheet!$F$62/100*worksheet!$F$29*H105*E105*G105/1000*worksheet!$F$11</f>
        <v>77.292633406661253</v>
      </c>
      <c r="J105" s="46">
        <f t="shared" si="13"/>
        <v>67.35294117647058</v>
      </c>
      <c r="L105" s="44">
        <v>3.14</v>
      </c>
      <c r="M105" s="44" t="str">
        <f>IF(worksheet!$F$10="Rapid charger",40+(worksheet!$F$17-40)*(worksheet!$J$11-3)/(worksheet!$F$14-3)," ")</f>
        <v xml:space="preserve"> </v>
      </c>
      <c r="N105" s="44">
        <f t="shared" si="14"/>
        <v>0.46533333333333443</v>
      </c>
      <c r="O105" s="44">
        <f>1000*worksheet!$F$42*N105/worksheet!$F$52/worksheet!$F$8</f>
        <v>4.685874125874137</v>
      </c>
      <c r="P105" s="44">
        <f>worksheet!$F$8*O105/worksheet!$F$29/worksheet!$J$11</f>
        <v>9.8180219780220011</v>
      </c>
      <c r="Q105" s="44" t="e">
        <f t="shared" si="15"/>
        <v>#VALUE!</v>
      </c>
      <c r="R105" s="44" t="e">
        <f>IF(Q105="DCM",1000/(1000/M105+worksheet!$F$43/1000),1000/(O105+P105+worksheet!$F$43/1000))</f>
        <v>#VALUE!</v>
      </c>
      <c r="S105" s="44">
        <f>N105/worksheet!$F$52</f>
        <v>2.3863247863247921</v>
      </c>
      <c r="T105" s="44" t="e">
        <f>0.5*worksheet!$F$62/100*worksheet!$F$29*S105*P105*R105/1000*worksheet!$J$11</f>
        <v>#VALUE!</v>
      </c>
    </row>
    <row r="106" spans="1:20">
      <c r="A106" s="44">
        <v>3.16</v>
      </c>
      <c r="B106" s="61">
        <f>IF(worksheet!$F$10="Rapid charger",IF(worksheet!$F$11&gt;20,40+(worksheet!$F$17-40)*(worksheet!$F$11-3)/(worksheet!$F$11-3),40+(worksheet!$F$17-40)*(worksheet!$F$11-3)/(worksheet!$F$14-3)),IF(worksheet!$F$18&gt;20,40+(worksheet!$F$17-40)*(worksheet!$F$18-3)/(worksheet!$F$14-3),40+(worksheet!$F$17-40)*(worksheet!$F$18-3)/(worksheet!$F$14-3)))</f>
        <v>67.35294117647058</v>
      </c>
      <c r="C106" s="60">
        <f t="shared" si="8"/>
        <v>0.49616666666666781</v>
      </c>
      <c r="D106" s="44">
        <f>1000*worksheet!$F$42*C106/worksheet!$F$52/worksheet!$F$8</f>
        <v>4.9963636363636477</v>
      </c>
      <c r="E106" s="44">
        <f>worksheet!$F$8*D106/worksheet!$F$29/worksheet!$F$11</f>
        <v>11.216326530612269</v>
      </c>
      <c r="F106" s="44" t="str">
        <f t="shared" si="10"/>
        <v>CDCM</v>
      </c>
      <c r="G106" s="44">
        <f>IF(F106="DCM",1000/(1000/B106+worksheet!$F$43/2/1000),1000/(D106+E106+worksheet!$F$43/2/1000))</f>
        <v>58.779651553353041</v>
      </c>
      <c r="H106" s="44">
        <f>C106/worksheet!$F$52</f>
        <v>2.5444444444444501</v>
      </c>
      <c r="I106" s="44">
        <f>0.5*worksheet!$F$62/100*worksheet!$F$29*H106*E106*G106/1000*worksheet!$F$11</f>
        <v>78.089080580104806</v>
      </c>
      <c r="J106" s="46">
        <f t="shared" si="13"/>
        <v>67.35294117647058</v>
      </c>
      <c r="L106" s="44">
        <v>3.16</v>
      </c>
      <c r="M106" s="44" t="str">
        <f>IF(worksheet!$F$10="Rapid charger",40+(worksheet!$F$17-40)*(worksheet!$J$11-3)/(worksheet!$F$14-3)," ")</f>
        <v xml:space="preserve"> </v>
      </c>
      <c r="N106" s="44">
        <f t="shared" si="14"/>
        <v>0.46966666666666779</v>
      </c>
      <c r="O106" s="44">
        <f>1000*worksheet!$F$42*N106/worksheet!$F$52/worksheet!$F$8</f>
        <v>4.7295104895105</v>
      </c>
      <c r="P106" s="44">
        <f>worksheet!$F$8*O106/worksheet!$F$29/worksheet!$J$11</f>
        <v>9.9094505494505736</v>
      </c>
      <c r="Q106" s="44" t="e">
        <f t="shared" si="15"/>
        <v>#VALUE!</v>
      </c>
      <c r="R106" s="44" t="e">
        <f>IF(Q106="DCM",1000/(1000/M106+worksheet!$F$43/1000),1000/(O106+P106+worksheet!$F$43/1000))</f>
        <v>#VALUE!</v>
      </c>
      <c r="S106" s="44">
        <f>N106/worksheet!$F$52</f>
        <v>2.4085470085470142</v>
      </c>
      <c r="T106" s="44" t="e">
        <f>0.5*worksheet!$F$62/100*worksheet!$F$29*S106*P106*R106/1000*worksheet!$J$11</f>
        <v>#VALUE!</v>
      </c>
    </row>
    <row r="107" spans="1:20">
      <c r="A107" s="44">
        <v>3.18</v>
      </c>
      <c r="B107" s="61">
        <f>IF(worksheet!$F$10="Rapid charger",IF(worksheet!$F$11&gt;20,40+(worksheet!$F$17-40)*(worksheet!$F$11-3)/(worksheet!$F$11-3),40+(worksheet!$F$17-40)*(worksheet!$F$11-3)/(worksheet!$F$14-3)),IF(worksheet!$F$18&gt;20,40+(worksheet!$F$17-40)*(worksheet!$F$18-3)/(worksheet!$F$14-3),40+(worksheet!$F$17-40)*(worksheet!$F$18-3)/(worksheet!$F$14-3)))</f>
        <v>67.35294117647058</v>
      </c>
      <c r="C107" s="60">
        <f t="shared" si="8"/>
        <v>0.50100000000000111</v>
      </c>
      <c r="D107" s="44">
        <f>1000*worksheet!$F$42*C107/worksheet!$F$52/worksheet!$F$8</f>
        <v>5.0450349650349766</v>
      </c>
      <c r="E107" s="44">
        <f>worksheet!$F$8*D107/worksheet!$F$29/worksheet!$F$11</f>
        <v>11.325588697017293</v>
      </c>
      <c r="F107" s="44" t="str">
        <f t="shared" si="10"/>
        <v>CDCM</v>
      </c>
      <c r="G107" s="44">
        <f>IF(F107="DCM",1000/(1000/B107+worksheet!$F$43/2/1000),1000/(D107+E107+worksheet!$F$43/2/1000))</f>
        <v>58.239002827255355</v>
      </c>
      <c r="H107" s="44">
        <f>C107/worksheet!$F$52</f>
        <v>2.5692307692307748</v>
      </c>
      <c r="I107" s="44">
        <f>0.5*worksheet!$F$62/100*worksheet!$F$29*H107*E107*G107/1000*worksheet!$F$11</f>
        <v>78.885560527593569</v>
      </c>
      <c r="J107" s="46">
        <f t="shared" si="13"/>
        <v>67.35294117647058</v>
      </c>
      <c r="L107" s="44">
        <v>3.18</v>
      </c>
      <c r="M107" s="44" t="str">
        <f>IF(worksheet!$F$10="Rapid charger",40+(worksheet!$F$17-40)*(worksheet!$J$11-3)/(worksheet!$F$14-3)," ")</f>
        <v xml:space="preserve"> </v>
      </c>
      <c r="N107" s="44">
        <f t="shared" si="14"/>
        <v>0.47400000000000114</v>
      </c>
      <c r="O107" s="44">
        <f>1000*worksheet!$F$42*N107/worksheet!$F$52/worksheet!$F$8</f>
        <v>4.7731468531468648</v>
      </c>
      <c r="P107" s="44">
        <f>worksheet!$F$8*O107/worksheet!$F$29/worksheet!$J$11</f>
        <v>10.000879120879144</v>
      </c>
      <c r="Q107" s="44" t="e">
        <f t="shared" si="15"/>
        <v>#VALUE!</v>
      </c>
      <c r="R107" s="44" t="e">
        <f>IF(Q107="DCM",1000/(1000/M107+worksheet!$F$43/1000),1000/(O107+P107+worksheet!$F$43/1000))</f>
        <v>#VALUE!</v>
      </c>
      <c r="S107" s="44">
        <f>N107/worksheet!$F$52</f>
        <v>2.4307692307692363</v>
      </c>
      <c r="T107" s="44" t="e">
        <f>0.5*worksheet!$F$62/100*worksheet!$F$29*S107*P107*R107/1000*worksheet!$J$11</f>
        <v>#VALUE!</v>
      </c>
    </row>
    <row r="108" spans="1:20">
      <c r="A108" s="44">
        <v>3.2</v>
      </c>
      <c r="B108" s="61">
        <f>IF(worksheet!$F$10="Rapid charger",IF(worksheet!$F$11&gt;20,40+(worksheet!$F$17-40)*(worksheet!$F$11-3)/(worksheet!$F$11-3),40+(worksheet!$F$17-40)*(worksheet!$F$11-3)/(worksheet!$F$14-3)),IF(worksheet!$F$18&gt;20,40+(worksheet!$F$17-40)*(worksheet!$F$18-3)/(worksheet!$F$14-3),40+(worksheet!$F$17-40)*(worksheet!$F$18-3)/(worksheet!$F$14-3)))</f>
        <v>67.35294117647058</v>
      </c>
      <c r="C108" s="60">
        <f t="shared" si="8"/>
        <v>0.50583333333333447</v>
      </c>
      <c r="D108" s="44">
        <f>1000*worksheet!$F$42*C108/worksheet!$F$52/worksheet!$F$8</f>
        <v>5.0937062937063047</v>
      </c>
      <c r="E108" s="44">
        <f>worksheet!$F$8*D108/worksheet!$F$29/worksheet!$F$11</f>
        <v>11.434850863422316</v>
      </c>
      <c r="F108" s="44" t="str">
        <f t="shared" si="10"/>
        <v>CDCM</v>
      </c>
      <c r="G108" s="44">
        <f>IF(F108="DCM",1000/(1000/B108+worksheet!$F$43/2/1000),1000/(D108+E108+worksheet!$F$43/2/1000))</f>
        <v>57.708209110105862</v>
      </c>
      <c r="H108" s="44">
        <f>C108/worksheet!$F$52</f>
        <v>2.5940170940170999</v>
      </c>
      <c r="I108" s="44">
        <f>0.5*worksheet!$F$62/100*worksheet!$F$29*H108*E108*G108/1000*worksheet!$F$11</f>
        <v>79.682072353013837</v>
      </c>
      <c r="J108" s="46">
        <f t="shared" si="13"/>
        <v>67.35294117647058</v>
      </c>
      <c r="L108" s="44">
        <v>3.2</v>
      </c>
      <c r="M108" s="44" t="str">
        <f>IF(worksheet!$F$10="Rapid charger",40+(worksheet!$F$17-40)*(worksheet!$J$11-3)/(worksheet!$F$14-3)," ")</f>
        <v xml:space="preserve"> </v>
      </c>
      <c r="N108" s="44">
        <f t="shared" si="14"/>
        <v>0.4783333333333345</v>
      </c>
      <c r="O108" s="44">
        <f>1000*worksheet!$F$42*N108/worksheet!$F$52/worksheet!$F$8</f>
        <v>4.8167832167832279</v>
      </c>
      <c r="P108" s="44">
        <f>worksheet!$F$8*O108/worksheet!$F$29/worksheet!$J$11</f>
        <v>10.092307692307715</v>
      </c>
      <c r="Q108" s="44" t="e">
        <f t="shared" si="15"/>
        <v>#VALUE!</v>
      </c>
      <c r="R108" s="44" t="e">
        <f>IF(Q108="DCM",1000/(1000/M108+worksheet!$F$43/1000),1000/(O108+P108+worksheet!$F$43/1000))</f>
        <v>#VALUE!</v>
      </c>
      <c r="S108" s="44">
        <f>N108/worksheet!$F$52</f>
        <v>2.4529914529914589</v>
      </c>
      <c r="T108" s="44" t="e">
        <f>0.5*worksheet!$F$62/100*worksheet!$F$29*S108*P108*R108/1000*worksheet!$J$11</f>
        <v>#VALUE!</v>
      </c>
    </row>
    <row r="109" spans="1:20">
      <c r="A109" s="44">
        <v>3.22</v>
      </c>
      <c r="B109" s="61">
        <f>IF(worksheet!$F$10="Rapid charger",IF(worksheet!$F$11&gt;20,40+(worksheet!$F$17-40)*(worksheet!$F$11-3)/(worksheet!$F$11-3),40+(worksheet!$F$17-40)*(worksheet!$F$11-3)/(worksheet!$F$14-3)),IF(worksheet!$F$18&gt;20,40+(worksheet!$F$17-40)*(worksheet!$F$18-3)/(worksheet!$F$14-3),40+(worksheet!$F$17-40)*(worksheet!$F$18-3)/(worksheet!$F$14-3)))</f>
        <v>67.35294117647058</v>
      </c>
      <c r="C109" s="60">
        <f t="shared" si="8"/>
        <v>0.51066666666666782</v>
      </c>
      <c r="D109" s="44">
        <f>1000*worksheet!$F$42*C109/worksheet!$F$52/worksheet!$F$8</f>
        <v>5.1423776223776327</v>
      </c>
      <c r="E109" s="44">
        <f>worksheet!$F$8*D109/worksheet!$F$29/worksheet!$F$11</f>
        <v>11.54411302982734</v>
      </c>
      <c r="F109" s="44" t="str">
        <f t="shared" si="10"/>
        <v>CDCM</v>
      </c>
      <c r="G109" s="44">
        <f>IF(F109="DCM",1000/(1000/B109+worksheet!$F$43/2/1000),1000/(D109+E109+worksheet!$F$43/2/1000))</f>
        <v>57.187003378170914</v>
      </c>
      <c r="H109" s="44">
        <f>C109/worksheet!$F$52</f>
        <v>2.6188034188034246</v>
      </c>
      <c r="I109" s="44">
        <f>0.5*worksheet!$F$62/100*worksheet!$F$29*H109*E109*G109/1000*worksheet!$F$11</f>
        <v>80.478615192625696</v>
      </c>
      <c r="J109" s="46">
        <f t="shared" si="13"/>
        <v>67.35294117647058</v>
      </c>
      <c r="L109" s="44">
        <v>3.22</v>
      </c>
      <c r="M109" s="44" t="str">
        <f>IF(worksheet!$F$10="Rapid charger",40+(worksheet!$F$17-40)*(worksheet!$J$11-3)/(worksheet!$F$14-3)," ")</f>
        <v xml:space="preserve"> </v>
      </c>
      <c r="N109" s="44">
        <f t="shared" si="14"/>
        <v>0.48266666666666785</v>
      </c>
      <c r="O109" s="44">
        <f>1000*worksheet!$F$42*N109/worksheet!$F$52/worksheet!$F$8</f>
        <v>4.8604195804195918</v>
      </c>
      <c r="P109" s="44">
        <f>worksheet!$F$8*O109/worksheet!$F$29/worksheet!$J$11</f>
        <v>10.183736263736288</v>
      </c>
      <c r="Q109" s="44" t="e">
        <f t="shared" si="15"/>
        <v>#VALUE!</v>
      </c>
      <c r="R109" s="44" t="e">
        <f>IF(Q109="DCM",1000/(1000/M109+worksheet!$F$43/1000),1000/(O109+P109+worksheet!$F$43/1000))</f>
        <v>#VALUE!</v>
      </c>
      <c r="S109" s="44">
        <f>N109/worksheet!$F$52</f>
        <v>2.4752136752136811</v>
      </c>
      <c r="T109" s="44" t="e">
        <f>0.5*worksheet!$F$62/100*worksheet!$F$29*S109*P109*R109/1000*worksheet!$J$11</f>
        <v>#VALUE!</v>
      </c>
    </row>
    <row r="110" spans="1:20">
      <c r="A110" s="44">
        <v>3.24</v>
      </c>
      <c r="B110" s="61">
        <f>IF(worksheet!$F$10="Rapid charger",IF(worksheet!$F$11&gt;20,40+(worksheet!$F$17-40)*(worksheet!$F$11-3)/(worksheet!$F$11-3),40+(worksheet!$F$17-40)*(worksheet!$F$11-3)/(worksheet!$F$14-3)),IF(worksheet!$F$18&gt;20,40+(worksheet!$F$17-40)*(worksheet!$F$18-3)/(worksheet!$F$14-3),40+(worksheet!$F$17-40)*(worksheet!$F$18-3)/(worksheet!$F$14-3)))</f>
        <v>67.35294117647058</v>
      </c>
      <c r="C110" s="60">
        <f t="shared" si="8"/>
        <v>0.51550000000000118</v>
      </c>
      <c r="D110" s="44">
        <f>1000*worksheet!$F$42*C110/worksheet!$F$52/worksheet!$F$8</f>
        <v>5.1910489510489626</v>
      </c>
      <c r="E110" s="44">
        <f>worksheet!$F$8*D110/worksheet!$F$29/worksheet!$F$11</f>
        <v>11.653375196232364</v>
      </c>
      <c r="F110" s="44" t="str">
        <f t="shared" si="10"/>
        <v>CDCM</v>
      </c>
      <c r="G110" s="44">
        <f>IF(F110="DCM",1000/(1000/B110+worksheet!$F$43/2/1000),1000/(D110+E110+worksheet!$F$43/2/1000))</f>
        <v>56.675128168129028</v>
      </c>
      <c r="H110" s="44">
        <f>C110/worksheet!$F$52</f>
        <v>2.6435897435897497</v>
      </c>
      <c r="I110" s="44">
        <f>0.5*worksheet!$F$62/100*worksheet!$F$29*H110*E110*G110/1000*worksheet!$F$11</f>
        <v>81.275188213614285</v>
      </c>
      <c r="J110" s="46">
        <f t="shared" si="13"/>
        <v>67.35294117647058</v>
      </c>
      <c r="L110" s="44">
        <v>3.24</v>
      </c>
      <c r="M110" s="44" t="str">
        <f>IF(worksheet!$F$10="Rapid charger",40+(worksheet!$F$17-40)*(worksheet!$J$11-3)/(worksheet!$F$14-3)," ")</f>
        <v xml:space="preserve"> </v>
      </c>
      <c r="N110" s="44">
        <f t="shared" si="14"/>
        <v>0.48700000000000121</v>
      </c>
      <c r="O110" s="44">
        <f>1000*worksheet!$F$42*N110/worksheet!$F$52/worksheet!$F$8</f>
        <v>4.9040559440559566</v>
      </c>
      <c r="P110" s="44">
        <f>worksheet!$F$8*O110/worksheet!$F$29/worksheet!$J$11</f>
        <v>10.275164835164862</v>
      </c>
      <c r="Q110" s="44" t="e">
        <f t="shared" si="15"/>
        <v>#VALUE!</v>
      </c>
      <c r="R110" s="44" t="e">
        <f>IF(Q110="DCM",1000/(1000/M110+worksheet!$F$43/1000),1000/(O110+P110+worksheet!$F$43/1000))</f>
        <v>#VALUE!</v>
      </c>
      <c r="S110" s="44">
        <f>N110/worksheet!$F$52</f>
        <v>2.4974358974359037</v>
      </c>
      <c r="T110" s="44" t="e">
        <f>0.5*worksheet!$F$62/100*worksheet!$F$29*S110*P110*R110/1000*worksheet!$J$11</f>
        <v>#VALUE!</v>
      </c>
    </row>
    <row r="111" spans="1:20">
      <c r="A111" s="44">
        <v>3.26</v>
      </c>
      <c r="B111" s="61">
        <f>IF(worksheet!$F$10="Rapid charger",IF(worksheet!$F$11&gt;20,40+(worksheet!$F$17-40)*(worksheet!$F$11-3)/(worksheet!$F$11-3),40+(worksheet!$F$17-40)*(worksheet!$F$11-3)/(worksheet!$F$14-3)),IF(worksheet!$F$18&gt;20,40+(worksheet!$F$17-40)*(worksheet!$F$18-3)/(worksheet!$F$14-3),40+(worksheet!$F$17-40)*(worksheet!$F$18-3)/(worksheet!$F$14-3)))</f>
        <v>67.35294117647058</v>
      </c>
      <c r="C111" s="60">
        <f t="shared" si="8"/>
        <v>0.52033333333333454</v>
      </c>
      <c r="D111" s="44">
        <f>1000*worksheet!$F$42*C111/worksheet!$F$52/worksheet!$F$8</f>
        <v>5.2397202797202915</v>
      </c>
      <c r="E111" s="44">
        <f>worksheet!$F$8*D111/worksheet!$F$29/worksheet!$F$11</f>
        <v>11.76263736263739</v>
      </c>
      <c r="F111" s="44" t="str">
        <f t="shared" si="10"/>
        <v>CDCM</v>
      </c>
      <c r="G111" s="44">
        <f>IF(F111="DCM",1000/(1000/B111+worksheet!$F$43/2/1000),1000/(D111+E111+worksheet!$F$43/2/1000))</f>
        <v>56.172335152995139</v>
      </c>
      <c r="H111" s="44">
        <f>C111/worksheet!$F$52</f>
        <v>2.6683760683760744</v>
      </c>
      <c r="I111" s="44">
        <f>0.5*worksheet!$F$62/100*worksheet!$F$29*H111*E111*G111/1000*worksheet!$F$11</f>
        <v>82.071790612717948</v>
      </c>
      <c r="J111" s="46">
        <f t="shared" si="13"/>
        <v>67.35294117647058</v>
      </c>
      <c r="L111" s="44">
        <v>3.26</v>
      </c>
      <c r="M111" s="44" t="str">
        <f>IF(worksheet!$F$10="Rapid charger",40+(worksheet!$F$17-40)*(worksheet!$J$11-3)/(worksheet!$F$14-3)," ")</f>
        <v xml:space="preserve"> </v>
      </c>
      <c r="N111" s="44">
        <f t="shared" si="14"/>
        <v>0.49133333333333457</v>
      </c>
      <c r="O111" s="44">
        <f>1000*worksheet!$F$42*N111/worksheet!$F$52/worksheet!$F$8</f>
        <v>4.9476923076923205</v>
      </c>
      <c r="P111" s="44">
        <f>worksheet!$F$8*O111/worksheet!$F$29/worksheet!$J$11</f>
        <v>10.366593406593434</v>
      </c>
      <c r="Q111" s="44" t="e">
        <f t="shared" si="15"/>
        <v>#VALUE!</v>
      </c>
      <c r="R111" s="44" t="e">
        <f>IF(Q111="DCM",1000/(1000/M111+worksheet!$F$43/1000),1000/(O111+P111+worksheet!$F$43/1000))</f>
        <v>#VALUE!</v>
      </c>
      <c r="S111" s="44">
        <f>N111/worksheet!$F$52</f>
        <v>2.5196581196581258</v>
      </c>
      <c r="T111" s="44" t="e">
        <f>0.5*worksheet!$F$62/100*worksheet!$F$29*S111*P111*R111/1000*worksheet!$J$11</f>
        <v>#VALUE!</v>
      </c>
    </row>
    <row r="112" spans="1:20">
      <c r="A112" s="44">
        <v>3.28</v>
      </c>
      <c r="B112" s="61">
        <f>IF(worksheet!$F$10="Rapid charger",IF(worksheet!$F$11&gt;20,40+(worksheet!$F$17-40)*(worksheet!$F$11-3)/(worksheet!$F$11-3),40+(worksheet!$F$17-40)*(worksheet!$F$11-3)/(worksheet!$F$14-3)),IF(worksheet!$F$18&gt;20,40+(worksheet!$F$17-40)*(worksheet!$F$18-3)/(worksheet!$F$14-3),40+(worksheet!$F$17-40)*(worksheet!$F$18-3)/(worksheet!$F$14-3)))</f>
        <v>67.35294117647058</v>
      </c>
      <c r="C112" s="60">
        <f t="shared" si="8"/>
        <v>0.52516666666666789</v>
      </c>
      <c r="D112" s="44">
        <f>1000*worksheet!$F$42*C112/worksheet!$F$52/worksheet!$F$8</f>
        <v>5.2883916083916205</v>
      </c>
      <c r="E112" s="44">
        <f>worksheet!$F$8*D112/worksheet!$F$29/worksheet!$F$11</f>
        <v>11.871899529042413</v>
      </c>
      <c r="F112" s="44" t="str">
        <f t="shared" si="10"/>
        <v>CDCM</v>
      </c>
      <c r="G112" s="44">
        <f>IF(F112="DCM",1000/(1000/B112+worksheet!$F$43/2/1000),1000/(D112+E112+worksheet!$F$43/2/1000))</f>
        <v>55.678384740419574</v>
      </c>
      <c r="H112" s="44">
        <f>C112/worksheet!$F$52</f>
        <v>2.6931623931623991</v>
      </c>
      <c r="I112" s="44">
        <f>0.5*worksheet!$F$62/100*worksheet!$F$29*H112*E112*G112/1000*worksheet!$F$11</f>
        <v>82.868421614928877</v>
      </c>
      <c r="J112" s="46">
        <f t="shared" si="13"/>
        <v>67.35294117647058</v>
      </c>
      <c r="L112" s="44">
        <v>3.28</v>
      </c>
      <c r="M112" s="44" t="str">
        <f>IF(worksheet!$F$10="Rapid charger",40+(worksheet!$F$17-40)*(worksheet!$J$11-3)/(worksheet!$F$14-3)," ")</f>
        <v xml:space="preserve"> </v>
      </c>
      <c r="N112" s="44">
        <f t="shared" si="14"/>
        <v>0.49566666666666792</v>
      </c>
      <c r="O112" s="44">
        <f>1000*worksheet!$F$42*N112/worksheet!$F$52/worksheet!$F$8</f>
        <v>4.9913286713286835</v>
      </c>
      <c r="P112" s="44">
        <f>worksheet!$F$8*O112/worksheet!$F$29/worksheet!$J$11</f>
        <v>10.458021978022003</v>
      </c>
      <c r="Q112" s="44" t="e">
        <f t="shared" si="15"/>
        <v>#VALUE!</v>
      </c>
      <c r="R112" s="44" t="e">
        <f>IF(Q112="DCM",1000/(1000/M112+worksheet!$F$43/1000),1000/(O112+P112+worksheet!$F$43/1000))</f>
        <v>#VALUE!</v>
      </c>
      <c r="S112" s="44">
        <f>N112/worksheet!$F$52</f>
        <v>2.5418803418803484</v>
      </c>
      <c r="T112" s="44" t="e">
        <f>0.5*worksheet!$F$62/100*worksheet!$F$29*S112*P112*R112/1000*worksheet!$J$11</f>
        <v>#VALUE!</v>
      </c>
    </row>
    <row r="113" spans="1:20">
      <c r="A113" s="44">
        <v>3.3</v>
      </c>
      <c r="B113" s="61">
        <f>IF(worksheet!$F$10="Rapid charger",IF(worksheet!$F$11&gt;20,40+(worksheet!$F$17-40)*(worksheet!$F$11-3)/(worksheet!$F$11-3),40+(worksheet!$F$17-40)*(worksheet!$F$11-3)/(worksheet!$F$14-3)),IF(worksheet!$F$18&gt;20,40+(worksheet!$F$17-40)*(worksheet!$F$18-3)/(worksheet!$F$14-3),40+(worksheet!$F$17-40)*(worksheet!$F$18-3)/(worksheet!$F$14-3)))</f>
        <v>67.35294117647058</v>
      </c>
      <c r="C113" s="44">
        <v>0.53</v>
      </c>
      <c r="D113" s="44">
        <f>1000*worksheet!$F$42*C113/worksheet!$F$52/worksheet!$F$8</f>
        <v>5.337062937062937</v>
      </c>
      <c r="E113" s="44">
        <f>worksheet!$F$8*D113/worksheet!$F$29/worksheet!$F$11</f>
        <v>11.98116169544741</v>
      </c>
      <c r="F113" s="44" t="str">
        <f t="shared" si="10"/>
        <v>CDCM</v>
      </c>
      <c r="G113" s="44">
        <f>IF(F113="DCM",1000/(1000/B113+worksheet!$F$43/2/1000),1000/(D113+E113+worksheet!$F$43/2/1000))</f>
        <v>55.193045691996495</v>
      </c>
      <c r="H113" s="44">
        <f>C113/worksheet!$F$52</f>
        <v>2.7179487179487181</v>
      </c>
      <c r="I113" s="44">
        <f>0.5*worksheet!$F$62/100*worksheet!$F$29*H113*E113*G113/1000*worksheet!$F$11</f>
        <v>83.665080472261607</v>
      </c>
      <c r="J113" s="46">
        <f t="shared" si="13"/>
        <v>67.35294117647058</v>
      </c>
      <c r="L113" s="44">
        <v>3.3</v>
      </c>
      <c r="M113" s="44" t="str">
        <f>IF(worksheet!$F$10="Rapid charger",40+(worksheet!$F$17-40)*(worksheet!$J$11-3)/(worksheet!$F$14-3)," ")</f>
        <v xml:space="preserve"> </v>
      </c>
      <c r="N113" s="44">
        <v>0.5</v>
      </c>
      <c r="O113" s="44">
        <f>1000*worksheet!$F$42*N113/worksheet!$F$52/worksheet!$F$8</f>
        <v>5.034965034965035</v>
      </c>
      <c r="P113" s="44">
        <f>worksheet!$F$8*O113/worksheet!$F$29/worksheet!$J$11</f>
        <v>10.549450549450547</v>
      </c>
      <c r="Q113" s="44" t="e">
        <f t="shared" si="15"/>
        <v>#VALUE!</v>
      </c>
      <c r="R113" s="44" t="e">
        <f>IF(Q113="DCM",1000/(1000/M113+worksheet!$F$43/1000),1000/(O113+P113+worksheet!$F$43/1000))</f>
        <v>#VALUE!</v>
      </c>
      <c r="S113" s="44">
        <f>N113/worksheet!$F$52</f>
        <v>2.5641025641025639</v>
      </c>
      <c r="T113" s="44" t="e">
        <f>0.5*worksheet!$F$62/100*worksheet!$F$29*S113*P113*R113/1000*worksheet!$J$11</f>
        <v>#VALUE!</v>
      </c>
    </row>
  </sheetData>
  <phoneticPr fontId="3"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13"/>
  <sheetViews>
    <sheetView topLeftCell="A45" zoomScale="85" zoomScaleNormal="85" workbookViewId="0">
      <selection activeCell="B53" sqref="B53"/>
    </sheetView>
  </sheetViews>
  <sheetFormatPr defaultColWidth="8.6328125" defaultRowHeight="14.5"/>
  <cols>
    <col min="1" max="1" width="8.6328125" style="45"/>
    <col min="2" max="2" width="13.7265625" style="45" bestFit="1" customWidth="1"/>
    <col min="3" max="3" width="8.6328125" style="45"/>
    <col min="4" max="4" width="12.90625" style="45" bestFit="1" customWidth="1"/>
    <col min="5" max="5" width="11.7265625" style="45" bestFit="1" customWidth="1"/>
    <col min="6" max="7" width="8.6328125" style="45"/>
    <col min="8" max="8" width="11.7265625" style="45" bestFit="1" customWidth="1"/>
    <col min="9" max="9" width="12.90625" style="45" bestFit="1" customWidth="1"/>
    <col min="10" max="10" width="11.7265625" style="45" bestFit="1" customWidth="1"/>
    <col min="11" max="12" width="8.6328125" style="45"/>
    <col min="13" max="13" width="11.7265625" style="45" bestFit="1" customWidth="1"/>
    <col min="14" max="14" width="8.6328125" style="45"/>
    <col min="15" max="15" width="12.90625" style="45" bestFit="1" customWidth="1"/>
    <col min="16" max="16" width="11.7265625" style="45" bestFit="1" customWidth="1"/>
    <col min="17" max="18" width="8.6328125" style="45"/>
    <col min="19" max="19" width="11.7265625" style="45" bestFit="1" customWidth="1"/>
    <col min="20" max="20" width="12.90625" style="45" bestFit="1" customWidth="1"/>
    <col min="21" max="16384" width="8.6328125" style="45"/>
  </cols>
  <sheetData>
    <row r="1" spans="1:23" ht="14.15" customHeight="1">
      <c r="A1" s="44" t="str">
        <f>worksheet!$F$11&amp;"V"</f>
        <v>14V</v>
      </c>
      <c r="B1" s="44"/>
      <c r="C1" s="44"/>
      <c r="D1" s="44"/>
      <c r="E1" s="44"/>
      <c r="F1" s="44"/>
      <c r="G1" s="44"/>
      <c r="H1" s="44"/>
      <c r="I1" s="44"/>
      <c r="J1" s="44"/>
      <c r="K1" s="44"/>
      <c r="L1" s="44" t="str">
        <f>worksheet!$J$11&amp;"V"</f>
        <v>15V</v>
      </c>
      <c r="M1" s="44"/>
      <c r="N1" s="44"/>
      <c r="O1" s="44"/>
      <c r="P1" s="44"/>
      <c r="Q1" s="44"/>
      <c r="R1" s="44"/>
      <c r="S1" s="44"/>
      <c r="T1" s="44"/>
      <c r="U1" s="44"/>
      <c r="V1" s="44"/>
      <c r="W1" s="44"/>
    </row>
    <row r="2" spans="1:23" ht="28">
      <c r="A2" s="44" t="s">
        <v>112</v>
      </c>
      <c r="B2" s="44" t="s">
        <v>113</v>
      </c>
      <c r="C2" s="44" t="s">
        <v>114</v>
      </c>
      <c r="D2" s="44" t="s">
        <v>115</v>
      </c>
      <c r="E2" s="44" t="s">
        <v>116</v>
      </c>
      <c r="F2" s="44" t="s">
        <v>117</v>
      </c>
      <c r="G2" s="44" t="s">
        <v>121</v>
      </c>
      <c r="H2" s="44" t="s">
        <v>119</v>
      </c>
      <c r="I2" s="44" t="s">
        <v>120</v>
      </c>
      <c r="J2" s="44"/>
      <c r="L2" s="44" t="s">
        <v>112</v>
      </c>
      <c r="M2" s="44" t="s">
        <v>113</v>
      </c>
      <c r="N2" s="44" t="s">
        <v>114</v>
      </c>
      <c r="O2" s="44" t="s">
        <v>115</v>
      </c>
      <c r="P2" s="44" t="s">
        <v>116</v>
      </c>
      <c r="Q2" s="44" t="s">
        <v>117</v>
      </c>
      <c r="R2" s="44" t="s">
        <v>121</v>
      </c>
      <c r="S2" s="44" t="s">
        <v>119</v>
      </c>
      <c r="T2" s="44" t="s">
        <v>120</v>
      </c>
    </row>
    <row r="3" spans="1:23">
      <c r="A3" s="44">
        <v>1.1000000000000001</v>
      </c>
      <c r="B3" s="44">
        <v>25</v>
      </c>
      <c r="C3" s="44">
        <v>0.11</v>
      </c>
      <c r="D3" s="44">
        <f>1000*worksheet!$F$42*C3/worksheet!$F$52/worksheet!$F$9</f>
        <v>0.62433508439213559</v>
      </c>
      <c r="E3" s="44">
        <f>worksheet!$F$9*D3/worksheet!$F$29/worksheet!$F$11</f>
        <v>2.4866562009419155</v>
      </c>
      <c r="F3" s="44" t="str">
        <f>IF((D3+E3)&lt;(1000/B3),"DCM","CDCM")</f>
        <v>DCM</v>
      </c>
      <c r="G3" s="44">
        <f>IF(F3="DCM",B3,1000/(D3+E3))</f>
        <v>25</v>
      </c>
      <c r="H3" s="44">
        <f>C3/worksheet!$F$52</f>
        <v>0.5641025641025641</v>
      </c>
      <c r="I3" s="44">
        <f>0.5*worksheet!$F$62/100*worksheet!$F$29*H3*E3*G3/1000*worksheet!$F$11</f>
        <v>1.6324260355029585</v>
      </c>
      <c r="J3" s="46">
        <f>G3</f>
        <v>25</v>
      </c>
      <c r="L3" s="44">
        <v>1.1000000000000001</v>
      </c>
      <c r="M3" s="44">
        <v>25</v>
      </c>
      <c r="N3" s="44">
        <v>0.11</v>
      </c>
      <c r="O3" s="44">
        <f>1000*worksheet!$F$42*N3/worksheet!$F$52/worksheet!$F$9</f>
        <v>0.62433508439213559</v>
      </c>
      <c r="P3" s="44">
        <f>worksheet!$F$9*O3/worksheet!$F$29/worksheet!$J$11</f>
        <v>2.3208791208791211</v>
      </c>
      <c r="Q3" s="44" t="str">
        <f>IF((O3+P3)&lt;(1000/M3),"DCM","CDCM")</f>
        <v>DCM</v>
      </c>
      <c r="R3" s="44">
        <f>IF(Q3="DCM",M3,1000/(O3+P3))</f>
        <v>25</v>
      </c>
      <c r="S3" s="44">
        <f>N3/worksheet!$F$52</f>
        <v>0.5641025641025641</v>
      </c>
      <c r="T3" s="44">
        <f>0.5*worksheet!$F$62/100*worksheet!$F$29*S3*P3*R3/1000*worksheet!$J$11</f>
        <v>1.6324260355029587</v>
      </c>
    </row>
    <row r="4" spans="1:23">
      <c r="A4" s="44">
        <v>1.1200000000000001</v>
      </c>
      <c r="B4" s="44">
        <v>25</v>
      </c>
      <c r="C4" s="44">
        <f>C3+($C$28-$C$3)/25</f>
        <v>0.1168</v>
      </c>
      <c r="D4" s="44">
        <f>1000*worksheet!$F$42*C4/worksheet!$F$52/worksheet!$F$9</f>
        <v>0.66293034415455843</v>
      </c>
      <c r="E4" s="44">
        <f>worksheet!$F$9*D4/worksheet!$F$29/worksheet!$F$11</f>
        <v>2.6403767660910513</v>
      </c>
      <c r="F4" s="44" t="str">
        <f t="shared" ref="F4:F67" si="0">IF((D4+E4)&lt;(1000/B4),"DCM","CDCM")</f>
        <v>DCM</v>
      </c>
      <c r="G4" s="44">
        <f t="shared" ref="G4:G67" si="1">IF(F4="DCM",B4,1000/(D4+E4))</f>
        <v>25</v>
      </c>
      <c r="H4" s="44">
        <f>C4/worksheet!$F$52</f>
        <v>0.59897435897435891</v>
      </c>
      <c r="I4" s="44">
        <f>0.5*worksheet!$F$62/100*worksheet!$F$29*H4*E4*G4/1000*worksheet!$F$11</f>
        <v>1.840491550295857</v>
      </c>
      <c r="J4" s="46">
        <f t="shared" ref="J4:J67" si="2">G4</f>
        <v>25</v>
      </c>
      <c r="L4" s="44">
        <v>1.1200000000000001</v>
      </c>
      <c r="M4" s="44">
        <v>25</v>
      </c>
      <c r="N4" s="44">
        <f>N3+($C$28-$C$3)/25</f>
        <v>0.1168</v>
      </c>
      <c r="O4" s="44">
        <f>1000*worksheet!$F$42*N4/worksheet!$F$52/worksheet!$F$9</f>
        <v>0.66293034415455843</v>
      </c>
      <c r="P4" s="44">
        <f>worksheet!$F$9*O4/worksheet!$F$29/worksheet!$J$11</f>
        <v>2.4643516483516477</v>
      </c>
      <c r="Q4" s="44" t="str">
        <f t="shared" ref="Q4:Q67" si="3">IF((O4+P4)&lt;(1000/M4),"DCM","CDCM")</f>
        <v>DCM</v>
      </c>
      <c r="R4" s="44">
        <f t="shared" ref="R4:R67" si="4">IF(Q4="DCM",M4,1000/(O4+P4))</f>
        <v>25</v>
      </c>
      <c r="S4" s="44">
        <f>N4/worksheet!$F$52</f>
        <v>0.59897435897435891</v>
      </c>
      <c r="T4" s="44">
        <f>0.5*worksheet!$F$62/100*worksheet!$F$29*S4*P4*R4/1000*worksheet!$J$11</f>
        <v>1.840491550295857</v>
      </c>
    </row>
    <row r="5" spans="1:23">
      <c r="A5" s="44">
        <v>1.1399999999999999</v>
      </c>
      <c r="B5" s="44">
        <v>25</v>
      </c>
      <c r="C5" s="44">
        <f t="shared" ref="C5:C27" si="5">C4+($C$28-$C$3)/25</f>
        <v>0.1236</v>
      </c>
      <c r="D5" s="44">
        <f>1000*worksheet!$F$42*C5/worksheet!$F$52/worksheet!$F$9</f>
        <v>0.70152560391698138</v>
      </c>
      <c r="E5" s="44">
        <f>worksheet!$F$9*D5/worksheet!$F$29/worksheet!$F$11</f>
        <v>2.7940973312401884</v>
      </c>
      <c r="F5" s="44" t="str">
        <f t="shared" si="0"/>
        <v>DCM</v>
      </c>
      <c r="G5" s="44">
        <f t="shared" si="1"/>
        <v>25</v>
      </c>
      <c r="H5" s="44">
        <f>C5/worksheet!$F$52</f>
        <v>0.63384615384615384</v>
      </c>
      <c r="I5" s="44">
        <f>0.5*worksheet!$F$62/100*worksheet!$F$29*H5*E5*G5/1000*worksheet!$F$11</f>
        <v>2.0610336568047338</v>
      </c>
      <c r="J5" s="46">
        <f t="shared" si="2"/>
        <v>25</v>
      </c>
      <c r="L5" s="44">
        <v>1.1399999999999999</v>
      </c>
      <c r="M5" s="44">
        <v>25</v>
      </c>
      <c r="N5" s="44">
        <f t="shared" ref="N5:N27" si="6">N4+($C$28-$C$3)/25</f>
        <v>0.1236</v>
      </c>
      <c r="O5" s="44">
        <f>1000*worksheet!$F$42*N5/worksheet!$F$52/worksheet!$F$9</f>
        <v>0.70152560391698138</v>
      </c>
      <c r="P5" s="44">
        <f>worksheet!$F$9*O5/worksheet!$F$29/worksheet!$J$11</f>
        <v>2.607824175824176</v>
      </c>
      <c r="Q5" s="44" t="str">
        <f t="shared" si="3"/>
        <v>DCM</v>
      </c>
      <c r="R5" s="44">
        <f t="shared" si="4"/>
        <v>25</v>
      </c>
      <c r="S5" s="44">
        <f>N5/worksheet!$F$52</f>
        <v>0.63384615384615384</v>
      </c>
      <c r="T5" s="44">
        <f>0.5*worksheet!$F$62/100*worksheet!$F$29*S5*P5*R5/1000*worksheet!$J$11</f>
        <v>2.0610336568047334</v>
      </c>
    </row>
    <row r="6" spans="1:23">
      <c r="A6" s="44">
        <v>1.1599999999999999</v>
      </c>
      <c r="B6" s="44">
        <v>25</v>
      </c>
      <c r="C6" s="44">
        <f t="shared" si="5"/>
        <v>0.13040000000000002</v>
      </c>
      <c r="D6" s="44">
        <f>1000*worksheet!$F$42*C6/worksheet!$F$52/worksheet!$F$9</f>
        <v>0.74012086367940444</v>
      </c>
      <c r="E6" s="44">
        <f>worksheet!$F$9*D6/worksheet!$F$29/worksheet!$F$11</f>
        <v>2.9478178963893251</v>
      </c>
      <c r="F6" s="44" t="str">
        <f t="shared" si="0"/>
        <v>DCM</v>
      </c>
      <c r="G6" s="44">
        <f t="shared" si="1"/>
        <v>25</v>
      </c>
      <c r="H6" s="44">
        <f>C6/worksheet!$F$52</f>
        <v>0.66871794871794876</v>
      </c>
      <c r="I6" s="44">
        <f>0.5*worksheet!$F$62/100*worksheet!$F$29*H6*E6*G6/1000*worksheet!$F$11</f>
        <v>2.2940523550295859</v>
      </c>
      <c r="J6" s="46">
        <f t="shared" si="2"/>
        <v>25</v>
      </c>
      <c r="L6" s="44">
        <v>1.1599999999999999</v>
      </c>
      <c r="M6" s="44">
        <v>25</v>
      </c>
      <c r="N6" s="44">
        <f t="shared" si="6"/>
        <v>0.13040000000000002</v>
      </c>
      <c r="O6" s="44">
        <f>1000*worksheet!$F$42*N6/worksheet!$F$52/worksheet!$F$9</f>
        <v>0.74012086367940444</v>
      </c>
      <c r="P6" s="44">
        <f>worksheet!$F$9*O6/worksheet!$F$29/worksheet!$J$11</f>
        <v>2.7512967032967035</v>
      </c>
      <c r="Q6" s="44" t="str">
        <f t="shared" si="3"/>
        <v>DCM</v>
      </c>
      <c r="R6" s="44">
        <f t="shared" si="4"/>
        <v>25</v>
      </c>
      <c r="S6" s="44">
        <f>N6/worksheet!$F$52</f>
        <v>0.66871794871794876</v>
      </c>
      <c r="T6" s="44">
        <f>0.5*worksheet!$F$62/100*worksheet!$F$29*S6*P6*R6/1000*worksheet!$J$11</f>
        <v>2.2940523550295859</v>
      </c>
    </row>
    <row r="7" spans="1:23">
      <c r="A7" s="44">
        <v>1.18</v>
      </c>
      <c r="B7" s="44">
        <v>25</v>
      </c>
      <c r="C7" s="44">
        <f t="shared" si="5"/>
        <v>0.13720000000000002</v>
      </c>
      <c r="D7" s="44">
        <f>1000*worksheet!$F$42*C7/worksheet!$F$52/worksheet!$F$9</f>
        <v>0.77871612344182728</v>
      </c>
      <c r="E7" s="44">
        <f>worksheet!$F$9*D7/worksheet!$F$29/worksheet!$F$11</f>
        <v>3.1015384615384618</v>
      </c>
      <c r="F7" s="44" t="str">
        <f t="shared" si="0"/>
        <v>DCM</v>
      </c>
      <c r="G7" s="44">
        <f t="shared" si="1"/>
        <v>25</v>
      </c>
      <c r="H7" s="44">
        <f>C7/worksheet!$F$52</f>
        <v>0.70358974358974369</v>
      </c>
      <c r="I7" s="44">
        <f>0.5*worksheet!$F$62/100*worksheet!$F$29*H7*E7*G7/1000*worksheet!$F$11</f>
        <v>2.5395476449704142</v>
      </c>
      <c r="J7" s="46">
        <f t="shared" si="2"/>
        <v>25</v>
      </c>
      <c r="L7" s="44">
        <v>1.18</v>
      </c>
      <c r="M7" s="44">
        <v>25</v>
      </c>
      <c r="N7" s="44">
        <f t="shared" si="6"/>
        <v>0.13720000000000002</v>
      </c>
      <c r="O7" s="44">
        <f>1000*worksheet!$F$42*N7/worksheet!$F$52/worksheet!$F$9</f>
        <v>0.77871612344182728</v>
      </c>
      <c r="P7" s="44">
        <f>worksheet!$F$9*O7/worksheet!$F$29/worksheet!$J$11</f>
        <v>2.894769230769231</v>
      </c>
      <c r="Q7" s="44" t="str">
        <f t="shared" si="3"/>
        <v>DCM</v>
      </c>
      <c r="R7" s="44">
        <f t="shared" si="4"/>
        <v>25</v>
      </c>
      <c r="S7" s="44">
        <f>N7/worksheet!$F$52</f>
        <v>0.70358974358974369</v>
      </c>
      <c r="T7" s="44">
        <f>0.5*worksheet!$F$62/100*worksheet!$F$29*S7*P7*R7/1000*worksheet!$J$11</f>
        <v>2.5395476449704146</v>
      </c>
    </row>
    <row r="8" spans="1:23">
      <c r="A8" s="44">
        <v>1.2</v>
      </c>
      <c r="B8" s="44">
        <v>25</v>
      </c>
      <c r="C8" s="44">
        <f t="shared" si="5"/>
        <v>0.14400000000000002</v>
      </c>
      <c r="D8" s="44">
        <f>1000*worksheet!$F$42*C8/worksheet!$F$52/worksheet!$F$9</f>
        <v>0.81731138320425023</v>
      </c>
      <c r="E8" s="44">
        <f>worksheet!$F$9*D8/worksheet!$F$29/worksheet!$F$11</f>
        <v>3.255259026687598</v>
      </c>
      <c r="F8" s="44" t="str">
        <f t="shared" si="0"/>
        <v>DCM</v>
      </c>
      <c r="G8" s="44">
        <f t="shared" si="1"/>
        <v>25</v>
      </c>
      <c r="H8" s="44">
        <f>C8/worksheet!$F$52</f>
        <v>0.7384615384615385</v>
      </c>
      <c r="I8" s="44">
        <f>0.5*worksheet!$F$62/100*worksheet!$F$29*H8*E8*G8/1000*worksheet!$F$11</f>
        <v>2.7975195266272186</v>
      </c>
      <c r="J8" s="46">
        <f t="shared" si="2"/>
        <v>25</v>
      </c>
      <c r="L8" s="44">
        <v>1.2</v>
      </c>
      <c r="M8" s="44">
        <v>25</v>
      </c>
      <c r="N8" s="44">
        <f t="shared" si="6"/>
        <v>0.14400000000000002</v>
      </c>
      <c r="O8" s="44">
        <f>1000*worksheet!$F$42*N8/worksheet!$F$52/worksheet!$F$9</f>
        <v>0.81731138320425023</v>
      </c>
      <c r="P8" s="44">
        <f>worksheet!$F$9*O8/worksheet!$F$29/worksheet!$J$11</f>
        <v>3.0382417582417585</v>
      </c>
      <c r="Q8" s="44" t="str">
        <f t="shared" si="3"/>
        <v>DCM</v>
      </c>
      <c r="R8" s="44">
        <f t="shared" si="4"/>
        <v>25</v>
      </c>
      <c r="S8" s="44">
        <f>N8/worksheet!$F$52</f>
        <v>0.7384615384615385</v>
      </c>
      <c r="T8" s="44">
        <f>0.5*worksheet!$F$62/100*worksheet!$F$29*S8*P8*R8/1000*worksheet!$J$11</f>
        <v>2.797519526627219</v>
      </c>
    </row>
    <row r="9" spans="1:23">
      <c r="A9" s="44">
        <v>1.22</v>
      </c>
      <c r="B9" s="44">
        <v>25</v>
      </c>
      <c r="C9" s="44">
        <f t="shared" si="5"/>
        <v>0.15080000000000002</v>
      </c>
      <c r="D9" s="44">
        <f>1000*worksheet!$F$42*C9/worksheet!$F$52/worksheet!$F$9</f>
        <v>0.85590664296667307</v>
      </c>
      <c r="E9" s="44">
        <f>worksheet!$F$9*D9/worksheet!$F$29/worksheet!$F$11</f>
        <v>3.4089795918367343</v>
      </c>
      <c r="F9" s="44" t="str">
        <f t="shared" si="0"/>
        <v>DCM</v>
      </c>
      <c r="G9" s="44">
        <f t="shared" si="1"/>
        <v>25</v>
      </c>
      <c r="H9" s="44">
        <f>C9/worksheet!$F$52</f>
        <v>0.77333333333333343</v>
      </c>
      <c r="I9" s="44">
        <f>0.5*worksheet!$F$62/100*worksheet!$F$29*H9*E9*G9/1000*worksheet!$F$11</f>
        <v>3.0679679999999996</v>
      </c>
      <c r="J9" s="44"/>
      <c r="L9" s="44">
        <v>1.22</v>
      </c>
      <c r="M9" s="44">
        <v>25</v>
      </c>
      <c r="N9" s="44">
        <f t="shared" si="6"/>
        <v>0.15080000000000002</v>
      </c>
      <c r="O9" s="44">
        <f>1000*worksheet!$F$42*N9/worksheet!$F$52/worksheet!$F$9</f>
        <v>0.85590664296667307</v>
      </c>
      <c r="P9" s="44">
        <f>worksheet!$F$9*O9/worksheet!$F$29/worksheet!$J$11</f>
        <v>3.1817142857142855</v>
      </c>
      <c r="Q9" s="44" t="str">
        <f t="shared" si="3"/>
        <v>DCM</v>
      </c>
      <c r="R9" s="44">
        <f t="shared" si="4"/>
        <v>25</v>
      </c>
      <c r="S9" s="44">
        <f>N9/worksheet!$F$52</f>
        <v>0.77333333333333343</v>
      </c>
      <c r="T9" s="44">
        <f>0.5*worksheet!$F$62/100*worksheet!$F$29*S9*P9*R9/1000*worksheet!$J$11</f>
        <v>3.0679680000000005</v>
      </c>
    </row>
    <row r="10" spans="1:23">
      <c r="A10" s="44">
        <v>1.24</v>
      </c>
      <c r="B10" s="44">
        <v>25</v>
      </c>
      <c r="C10" s="44">
        <f t="shared" si="5"/>
        <v>0.15760000000000002</v>
      </c>
      <c r="D10" s="44">
        <f>1000*worksheet!$F$42*C10/worksheet!$F$52/worksheet!$F$9</f>
        <v>0.89450190272909613</v>
      </c>
      <c r="E10" s="44">
        <f>worksheet!$F$9*D10/worksheet!$F$29/worksheet!$F$11</f>
        <v>3.5627001569858718</v>
      </c>
      <c r="F10" s="44" t="str">
        <f t="shared" si="0"/>
        <v>DCM</v>
      </c>
      <c r="G10" s="44">
        <f t="shared" si="1"/>
        <v>25</v>
      </c>
      <c r="H10" s="44">
        <f>C10/worksheet!$F$52</f>
        <v>0.80820512820512824</v>
      </c>
      <c r="I10" s="44">
        <f>0.5*worksheet!$F$62/100*worksheet!$F$29*H10*E10*G10/1000*worksheet!$F$11</f>
        <v>3.3508930650887581</v>
      </c>
      <c r="J10" s="46">
        <f t="shared" si="2"/>
        <v>25</v>
      </c>
      <c r="L10" s="44">
        <v>1.24</v>
      </c>
      <c r="M10" s="44">
        <v>25</v>
      </c>
      <c r="N10" s="44">
        <f t="shared" si="6"/>
        <v>0.15760000000000002</v>
      </c>
      <c r="O10" s="44">
        <f>1000*worksheet!$F$42*N10/worksheet!$F$52/worksheet!$F$9</f>
        <v>0.89450190272909613</v>
      </c>
      <c r="P10" s="44">
        <f>worksheet!$F$9*O10/worksheet!$F$29/worksheet!$J$11</f>
        <v>3.3251868131868134</v>
      </c>
      <c r="Q10" s="44" t="str">
        <f t="shared" si="3"/>
        <v>DCM</v>
      </c>
      <c r="R10" s="44">
        <f t="shared" si="4"/>
        <v>25</v>
      </c>
      <c r="S10" s="44">
        <f>N10/worksheet!$F$52</f>
        <v>0.80820512820512824</v>
      </c>
      <c r="T10" s="44">
        <f>0.5*worksheet!$F$62/100*worksheet!$F$29*S10*P10*R10/1000*worksheet!$J$11</f>
        <v>3.3508930650887572</v>
      </c>
    </row>
    <row r="11" spans="1:23">
      <c r="A11" s="44">
        <v>1.26</v>
      </c>
      <c r="B11" s="44">
        <v>25</v>
      </c>
      <c r="C11" s="44">
        <f t="shared" si="5"/>
        <v>0.16440000000000002</v>
      </c>
      <c r="D11" s="44">
        <f>1000*worksheet!$F$42*C11/worksheet!$F$52/worksheet!$F$9</f>
        <v>0.93309716249151897</v>
      </c>
      <c r="E11" s="44">
        <f>worksheet!$F$9*D11/worksheet!$F$29/worksheet!$F$11</f>
        <v>3.7164207221350081</v>
      </c>
      <c r="F11" s="44" t="str">
        <f t="shared" si="0"/>
        <v>DCM</v>
      </c>
      <c r="G11" s="44">
        <f t="shared" si="1"/>
        <v>25</v>
      </c>
      <c r="H11" s="44">
        <f>C11/worksheet!$F$52</f>
        <v>0.84307692307692317</v>
      </c>
      <c r="I11" s="44">
        <f>0.5*worksheet!$F$62/100*worksheet!$F$29*H11*E11*G11/1000*worksheet!$F$11</f>
        <v>3.6462947218934918</v>
      </c>
      <c r="J11" s="46">
        <f t="shared" si="2"/>
        <v>25</v>
      </c>
      <c r="L11" s="44">
        <v>1.26</v>
      </c>
      <c r="M11" s="44">
        <v>25</v>
      </c>
      <c r="N11" s="44">
        <f t="shared" si="6"/>
        <v>0.16440000000000002</v>
      </c>
      <c r="O11" s="44">
        <f>1000*worksheet!$F$42*N11/worksheet!$F$52/worksheet!$F$9</f>
        <v>0.93309716249151897</v>
      </c>
      <c r="P11" s="44">
        <f>worksheet!$F$9*O11/worksheet!$F$29/worksheet!$J$11</f>
        <v>3.4686593406593409</v>
      </c>
      <c r="Q11" s="44" t="str">
        <f t="shared" si="3"/>
        <v>DCM</v>
      </c>
      <c r="R11" s="44">
        <f t="shared" si="4"/>
        <v>25</v>
      </c>
      <c r="S11" s="44">
        <f>N11/worksheet!$F$52</f>
        <v>0.84307692307692317</v>
      </c>
      <c r="T11" s="44">
        <f>0.5*worksheet!$F$62/100*worksheet!$F$29*S11*P11*R11/1000*worksheet!$J$11</f>
        <v>3.6462947218934918</v>
      </c>
    </row>
    <row r="12" spans="1:23">
      <c r="A12" s="44">
        <v>1.28</v>
      </c>
      <c r="B12" s="44">
        <v>25</v>
      </c>
      <c r="C12" s="44">
        <f t="shared" si="5"/>
        <v>0.17120000000000002</v>
      </c>
      <c r="D12" s="44">
        <f>1000*worksheet!$F$42*C12/worksheet!$F$52/worksheet!$F$9</f>
        <v>0.97169242225394203</v>
      </c>
      <c r="E12" s="44">
        <f>worksheet!$F$9*D12/worksheet!$F$29/worksheet!$F$11</f>
        <v>3.8701412872841447</v>
      </c>
      <c r="F12" s="44" t="str">
        <f t="shared" si="0"/>
        <v>DCM</v>
      </c>
      <c r="G12" s="44">
        <f t="shared" si="1"/>
        <v>25</v>
      </c>
      <c r="H12" s="44">
        <f>C12/worksheet!$F$52</f>
        <v>0.87794871794871798</v>
      </c>
      <c r="I12" s="44">
        <f>0.5*worksheet!$F$62/100*worksheet!$F$29*H12*E12*G12/1000*worksheet!$F$11</f>
        <v>3.9541729704142017</v>
      </c>
      <c r="J12" s="46">
        <f t="shared" si="2"/>
        <v>25</v>
      </c>
      <c r="L12" s="44">
        <v>1.28</v>
      </c>
      <c r="M12" s="44">
        <v>25</v>
      </c>
      <c r="N12" s="44">
        <f t="shared" si="6"/>
        <v>0.17120000000000002</v>
      </c>
      <c r="O12" s="44">
        <f>1000*worksheet!$F$42*N12/worksheet!$F$52/worksheet!$F$9</f>
        <v>0.97169242225394203</v>
      </c>
      <c r="P12" s="44">
        <f>worksheet!$F$9*O12/worksheet!$F$29/worksheet!$J$11</f>
        <v>3.6121318681318684</v>
      </c>
      <c r="Q12" s="44" t="str">
        <f t="shared" si="3"/>
        <v>DCM</v>
      </c>
      <c r="R12" s="44">
        <f t="shared" si="4"/>
        <v>25</v>
      </c>
      <c r="S12" s="44">
        <f>N12/worksheet!$F$52</f>
        <v>0.87794871794871798</v>
      </c>
      <c r="T12" s="44">
        <f>0.5*worksheet!$F$62/100*worksheet!$F$29*S12*P12*R12/1000*worksheet!$J$11</f>
        <v>3.9541729704142008</v>
      </c>
    </row>
    <row r="13" spans="1:23">
      <c r="A13" s="44">
        <v>1.3</v>
      </c>
      <c r="B13" s="44">
        <v>25</v>
      </c>
      <c r="C13" s="44">
        <f t="shared" si="5"/>
        <v>0.17800000000000002</v>
      </c>
      <c r="D13" s="44">
        <f>1000*worksheet!$F$42*C13/worksheet!$F$52/worksheet!$F$9</f>
        <v>1.0102876820163651</v>
      </c>
      <c r="E13" s="44">
        <f>worksheet!$F$9*D13/worksheet!$F$29/worksheet!$F$11</f>
        <v>4.0238618524332823</v>
      </c>
      <c r="F13" s="44" t="str">
        <f t="shared" si="0"/>
        <v>DCM</v>
      </c>
      <c r="G13" s="44">
        <f t="shared" si="1"/>
        <v>25</v>
      </c>
      <c r="H13" s="44">
        <f>C13/worksheet!$F$52</f>
        <v>0.91282051282051291</v>
      </c>
      <c r="I13" s="44">
        <f>0.5*worksheet!$F$62/100*worksheet!$F$29*H13*E13*G13/1000*worksheet!$F$11</f>
        <v>4.2745278106508895</v>
      </c>
      <c r="J13" s="46">
        <f t="shared" si="2"/>
        <v>25</v>
      </c>
      <c r="L13" s="44">
        <v>1.3</v>
      </c>
      <c r="M13" s="44">
        <v>25</v>
      </c>
      <c r="N13" s="44">
        <f t="shared" si="6"/>
        <v>0.17800000000000002</v>
      </c>
      <c r="O13" s="44">
        <f>1000*worksheet!$F$42*N13/worksheet!$F$52/worksheet!$F$9</f>
        <v>1.0102876820163651</v>
      </c>
      <c r="P13" s="44">
        <f>worksheet!$F$9*O13/worksheet!$F$29/worksheet!$J$11</f>
        <v>3.7556043956043967</v>
      </c>
      <c r="Q13" s="44" t="str">
        <f t="shared" si="3"/>
        <v>DCM</v>
      </c>
      <c r="R13" s="44">
        <f t="shared" si="4"/>
        <v>25</v>
      </c>
      <c r="S13" s="44">
        <f>N13/worksheet!$F$52</f>
        <v>0.91282051282051291</v>
      </c>
      <c r="T13" s="44">
        <f>0.5*worksheet!$F$62/100*worksheet!$F$29*S13*P13*R13/1000*worksheet!$J$11</f>
        <v>4.2745278106508895</v>
      </c>
    </row>
    <row r="14" spans="1:23">
      <c r="A14" s="44">
        <v>1.32</v>
      </c>
      <c r="B14" s="44">
        <v>25</v>
      </c>
      <c r="C14" s="44">
        <f t="shared" si="5"/>
        <v>0.18480000000000002</v>
      </c>
      <c r="D14" s="44">
        <f>1000*worksheet!$F$42*C14/worksheet!$F$52/worksheet!$F$9</f>
        <v>1.0488829417787877</v>
      </c>
      <c r="E14" s="44">
        <f>worksheet!$F$9*D14/worksheet!$F$29/worksheet!$F$11</f>
        <v>4.1775824175824177</v>
      </c>
      <c r="F14" s="44" t="str">
        <f t="shared" si="0"/>
        <v>DCM</v>
      </c>
      <c r="G14" s="44">
        <f t="shared" si="1"/>
        <v>25</v>
      </c>
      <c r="H14" s="44">
        <f>C14/worksheet!$F$52</f>
        <v>0.94769230769230772</v>
      </c>
      <c r="I14" s="44">
        <f>0.5*worksheet!$F$62/100*worksheet!$F$29*H14*E14*G14/1000*worksheet!$F$11</f>
        <v>4.6073592426035503</v>
      </c>
      <c r="J14" s="46">
        <f t="shared" si="2"/>
        <v>25</v>
      </c>
      <c r="L14" s="44">
        <v>1.32</v>
      </c>
      <c r="M14" s="44">
        <v>25</v>
      </c>
      <c r="N14" s="44">
        <f t="shared" si="6"/>
        <v>0.18480000000000002</v>
      </c>
      <c r="O14" s="44">
        <f>1000*worksheet!$F$42*N14/worksheet!$F$52/worksheet!$F$9</f>
        <v>1.0488829417787877</v>
      </c>
      <c r="P14" s="44">
        <f>worksheet!$F$9*O14/worksheet!$F$29/worksheet!$J$11</f>
        <v>3.8990769230769233</v>
      </c>
      <c r="Q14" s="44" t="str">
        <f t="shared" si="3"/>
        <v>DCM</v>
      </c>
      <c r="R14" s="44">
        <f t="shared" si="4"/>
        <v>25</v>
      </c>
      <c r="S14" s="44">
        <f>N14/worksheet!$F$52</f>
        <v>0.94769230769230772</v>
      </c>
      <c r="T14" s="44">
        <f>0.5*worksheet!$F$62/100*worksheet!$F$29*S14*P14*R14/1000*worksheet!$J$11</f>
        <v>4.6073592426035503</v>
      </c>
    </row>
    <row r="15" spans="1:23">
      <c r="A15" s="44">
        <v>1.34</v>
      </c>
      <c r="B15" s="44">
        <v>25</v>
      </c>
      <c r="C15" s="44">
        <f t="shared" si="5"/>
        <v>0.19160000000000002</v>
      </c>
      <c r="D15" s="44">
        <f>1000*worksheet!$F$42*C15/worksheet!$F$52/worksheet!$F$9</f>
        <v>1.0874782015412108</v>
      </c>
      <c r="E15" s="44">
        <f>worksheet!$F$9*D15/worksheet!$F$29/worksheet!$F$11</f>
        <v>4.3313029827315548</v>
      </c>
      <c r="F15" s="44" t="str">
        <f t="shared" si="0"/>
        <v>DCM</v>
      </c>
      <c r="G15" s="44">
        <f t="shared" si="1"/>
        <v>25</v>
      </c>
      <c r="H15" s="44">
        <f>C15/worksheet!$F$52</f>
        <v>0.98256410256410265</v>
      </c>
      <c r="I15" s="44">
        <f>0.5*worksheet!$F$62/100*worksheet!$F$29*H15*E15*G15/1000*worksheet!$F$11</f>
        <v>4.95266726627219</v>
      </c>
      <c r="J15" s="46">
        <f t="shared" si="2"/>
        <v>25</v>
      </c>
      <c r="L15" s="44">
        <v>1.34</v>
      </c>
      <c r="M15" s="44">
        <v>25</v>
      </c>
      <c r="N15" s="44">
        <f t="shared" si="6"/>
        <v>0.19160000000000002</v>
      </c>
      <c r="O15" s="44">
        <f>1000*worksheet!$F$42*N15/worksheet!$F$52/worksheet!$F$9</f>
        <v>1.0874782015412108</v>
      </c>
      <c r="P15" s="44">
        <f>worksheet!$F$9*O15/worksheet!$F$29/worksheet!$J$11</f>
        <v>4.0425494505494504</v>
      </c>
      <c r="Q15" s="44" t="str">
        <f t="shared" si="3"/>
        <v>DCM</v>
      </c>
      <c r="R15" s="44">
        <f t="shared" si="4"/>
        <v>25</v>
      </c>
      <c r="S15" s="44">
        <f>N15/worksheet!$F$52</f>
        <v>0.98256410256410265</v>
      </c>
      <c r="T15" s="44">
        <f>0.5*worksheet!$F$62/100*worksheet!$F$29*S15*P15*R15/1000*worksheet!$J$11</f>
        <v>4.9526672662721891</v>
      </c>
    </row>
    <row r="16" spans="1:23">
      <c r="A16" s="44">
        <v>1.36</v>
      </c>
      <c r="B16" s="44">
        <v>25</v>
      </c>
      <c r="C16" s="44">
        <f t="shared" si="5"/>
        <v>0.19840000000000002</v>
      </c>
      <c r="D16" s="44">
        <f>1000*worksheet!$F$42*C16/worksheet!$F$52/worksheet!$F$9</f>
        <v>1.1260734613036336</v>
      </c>
      <c r="E16" s="44">
        <f>worksheet!$F$9*D16/worksheet!$F$29/worksheet!$F$11</f>
        <v>4.485023547880691</v>
      </c>
      <c r="F16" s="44" t="str">
        <f t="shared" si="0"/>
        <v>DCM</v>
      </c>
      <c r="G16" s="44">
        <f t="shared" si="1"/>
        <v>25</v>
      </c>
      <c r="H16" s="44">
        <f>C16/worksheet!$F$52</f>
        <v>1.0174358974358975</v>
      </c>
      <c r="I16" s="44">
        <f>0.5*worksheet!$F$62/100*worksheet!$F$29*H16*E16*G16/1000*worksheet!$F$11</f>
        <v>5.3104518816568049</v>
      </c>
      <c r="J16" s="46">
        <f t="shared" si="2"/>
        <v>25</v>
      </c>
      <c r="L16" s="44">
        <v>1.36</v>
      </c>
      <c r="M16" s="44">
        <v>25</v>
      </c>
      <c r="N16" s="44">
        <f t="shared" si="6"/>
        <v>0.19840000000000002</v>
      </c>
      <c r="O16" s="44">
        <f>1000*worksheet!$F$42*N16/worksheet!$F$52/worksheet!$F$9</f>
        <v>1.1260734613036336</v>
      </c>
      <c r="P16" s="44">
        <f>worksheet!$F$9*O16/worksheet!$F$29/worksheet!$J$11</f>
        <v>4.1860219780219783</v>
      </c>
      <c r="Q16" s="44" t="str">
        <f t="shared" si="3"/>
        <v>DCM</v>
      </c>
      <c r="R16" s="44">
        <f t="shared" si="4"/>
        <v>25</v>
      </c>
      <c r="S16" s="44">
        <f>N16/worksheet!$F$52</f>
        <v>1.0174358974358975</v>
      </c>
      <c r="T16" s="44">
        <f>0.5*worksheet!$F$62/100*worksheet!$F$29*S16*P16*R16/1000*worksheet!$J$11</f>
        <v>5.3104518816568049</v>
      </c>
    </row>
    <row r="17" spans="1:20">
      <c r="A17" s="44">
        <v>1.38</v>
      </c>
      <c r="B17" s="44">
        <v>25</v>
      </c>
      <c r="C17" s="44">
        <f t="shared" si="5"/>
        <v>0.20520000000000002</v>
      </c>
      <c r="D17" s="44">
        <f>1000*worksheet!$F$42*C17/worksheet!$F$52/worksheet!$F$9</f>
        <v>1.1646687210660567</v>
      </c>
      <c r="E17" s="44">
        <f>worksheet!$F$9*D17/worksheet!$F$29/worksheet!$F$11</f>
        <v>4.6387441130298281</v>
      </c>
      <c r="F17" s="44" t="str">
        <f t="shared" si="0"/>
        <v>DCM</v>
      </c>
      <c r="G17" s="44">
        <f t="shared" si="1"/>
        <v>25</v>
      </c>
      <c r="H17" s="44">
        <f>C17/worksheet!$F$52</f>
        <v>1.0523076923076924</v>
      </c>
      <c r="I17" s="44">
        <f>0.5*worksheet!$F$62/100*worksheet!$F$29*H17*E17*G17/1000*worksheet!$F$11</f>
        <v>5.6807130887573978</v>
      </c>
      <c r="J17" s="46">
        <f t="shared" si="2"/>
        <v>25</v>
      </c>
      <c r="L17" s="44">
        <v>1.38</v>
      </c>
      <c r="M17" s="44">
        <v>25</v>
      </c>
      <c r="N17" s="44">
        <f t="shared" si="6"/>
        <v>0.20520000000000002</v>
      </c>
      <c r="O17" s="44">
        <f>1000*worksheet!$F$42*N17/worksheet!$F$52/worksheet!$F$9</f>
        <v>1.1646687210660567</v>
      </c>
      <c r="P17" s="44">
        <f>worksheet!$F$9*O17/worksheet!$F$29/worksheet!$J$11</f>
        <v>4.3294945054945062</v>
      </c>
      <c r="Q17" s="44" t="str">
        <f t="shared" si="3"/>
        <v>DCM</v>
      </c>
      <c r="R17" s="44">
        <f t="shared" si="4"/>
        <v>25</v>
      </c>
      <c r="S17" s="44">
        <f>N17/worksheet!$F$52</f>
        <v>1.0523076923076924</v>
      </c>
      <c r="T17" s="44">
        <f>0.5*worksheet!$F$62/100*worksheet!$F$29*S17*P17*R17/1000*worksheet!$J$11</f>
        <v>5.6807130887573969</v>
      </c>
    </row>
    <row r="18" spans="1:20">
      <c r="A18" s="44">
        <v>1.4</v>
      </c>
      <c r="B18" s="44">
        <v>25</v>
      </c>
      <c r="C18" s="44">
        <f t="shared" si="5"/>
        <v>0.21200000000000002</v>
      </c>
      <c r="D18" s="44">
        <f>1000*worksheet!$F$42*C18/worksheet!$F$52/worksheet!$F$9</f>
        <v>1.2032639808284793</v>
      </c>
      <c r="E18" s="44">
        <f>worksheet!$F$9*D18/worksheet!$F$29/worksheet!$F$11</f>
        <v>4.7924646781789635</v>
      </c>
      <c r="F18" s="44" t="str">
        <f t="shared" si="0"/>
        <v>DCM</v>
      </c>
      <c r="G18" s="44">
        <f t="shared" si="1"/>
        <v>25</v>
      </c>
      <c r="H18" s="44">
        <f>C18/worksheet!$F$52</f>
        <v>1.0871794871794873</v>
      </c>
      <c r="I18" s="44">
        <f>0.5*worksheet!$F$62/100*worksheet!$F$29*H18*E18*G18/1000*worksheet!$F$11</f>
        <v>6.063450887573965</v>
      </c>
      <c r="J18" s="46">
        <f t="shared" si="2"/>
        <v>25</v>
      </c>
      <c r="L18" s="44">
        <v>1.4</v>
      </c>
      <c r="M18" s="44">
        <v>25</v>
      </c>
      <c r="N18" s="44">
        <f t="shared" si="6"/>
        <v>0.21200000000000002</v>
      </c>
      <c r="O18" s="44">
        <f>1000*worksheet!$F$42*N18/worksheet!$F$52/worksheet!$F$9</f>
        <v>1.2032639808284793</v>
      </c>
      <c r="P18" s="44">
        <f>worksheet!$F$9*O18/worksheet!$F$29/worksheet!$J$11</f>
        <v>4.4729670329670324</v>
      </c>
      <c r="Q18" s="44" t="str">
        <f t="shared" si="3"/>
        <v>DCM</v>
      </c>
      <c r="R18" s="44">
        <f t="shared" si="4"/>
        <v>25</v>
      </c>
      <c r="S18" s="44">
        <f>N18/worksheet!$F$52</f>
        <v>1.0871794871794873</v>
      </c>
      <c r="T18" s="44">
        <f>0.5*worksheet!$F$62/100*worksheet!$F$29*S18*P18*R18/1000*worksheet!$J$11</f>
        <v>6.0634508875739641</v>
      </c>
    </row>
    <row r="19" spans="1:20">
      <c r="A19" s="44">
        <v>1.42</v>
      </c>
      <c r="B19" s="44">
        <v>25</v>
      </c>
      <c r="C19" s="44">
        <f t="shared" si="5"/>
        <v>0.21880000000000002</v>
      </c>
      <c r="D19" s="44">
        <f>1000*worksheet!$F$42*C19/worksheet!$F$52/worksheet!$F$9</f>
        <v>1.2418592405909024</v>
      </c>
      <c r="E19" s="44">
        <f>worksheet!$F$9*D19/worksheet!$F$29/worksheet!$F$11</f>
        <v>4.9461852433281006</v>
      </c>
      <c r="F19" s="44" t="str">
        <f t="shared" si="0"/>
        <v>DCM</v>
      </c>
      <c r="G19" s="44">
        <f t="shared" si="1"/>
        <v>25</v>
      </c>
      <c r="H19" s="44">
        <f>C19/worksheet!$F$52</f>
        <v>1.122051282051282</v>
      </c>
      <c r="I19" s="44">
        <f>0.5*worksheet!$F$62/100*worksheet!$F$29*H19*E19*G19/1000*worksheet!$F$11</f>
        <v>6.4586652781065075</v>
      </c>
      <c r="J19" s="46">
        <f t="shared" si="2"/>
        <v>25</v>
      </c>
      <c r="L19" s="44">
        <v>1.42</v>
      </c>
      <c r="M19" s="44">
        <v>25</v>
      </c>
      <c r="N19" s="44">
        <f t="shared" si="6"/>
        <v>0.21880000000000002</v>
      </c>
      <c r="O19" s="44">
        <f>1000*worksheet!$F$42*N19/worksheet!$F$52/worksheet!$F$9</f>
        <v>1.2418592405909024</v>
      </c>
      <c r="P19" s="44">
        <f>worksheet!$F$9*O19/worksheet!$F$29/worksheet!$J$11</f>
        <v>4.6164395604395603</v>
      </c>
      <c r="Q19" s="44" t="str">
        <f t="shared" si="3"/>
        <v>DCM</v>
      </c>
      <c r="R19" s="44">
        <f t="shared" si="4"/>
        <v>25</v>
      </c>
      <c r="S19" s="44">
        <f>N19/worksheet!$F$52</f>
        <v>1.122051282051282</v>
      </c>
      <c r="T19" s="44">
        <f>0.5*worksheet!$F$62/100*worksheet!$F$29*S19*P19*R19/1000*worksheet!$J$11</f>
        <v>6.4586652781065084</v>
      </c>
    </row>
    <row r="20" spans="1:20">
      <c r="A20" s="44">
        <v>1.44</v>
      </c>
      <c r="B20" s="44">
        <v>25</v>
      </c>
      <c r="C20" s="44">
        <f t="shared" si="5"/>
        <v>0.22560000000000002</v>
      </c>
      <c r="D20" s="44">
        <f>1000*worksheet!$F$42*C20/worksheet!$F$52/worksheet!$F$9</f>
        <v>1.2804545003533254</v>
      </c>
      <c r="E20" s="44">
        <f>worksheet!$F$9*D20/worksheet!$F$29/worksheet!$F$11</f>
        <v>5.0999058084772377</v>
      </c>
      <c r="F20" s="44" t="str">
        <f t="shared" si="0"/>
        <v>DCM</v>
      </c>
      <c r="G20" s="44">
        <f t="shared" si="1"/>
        <v>25</v>
      </c>
      <c r="H20" s="44">
        <f>C20/worksheet!$F$52</f>
        <v>1.1569230769230769</v>
      </c>
      <c r="I20" s="44">
        <f>0.5*worksheet!$F$62/100*worksheet!$F$29*H20*E20*G20/1000*worksheet!$F$11</f>
        <v>6.8663562603550297</v>
      </c>
      <c r="J20" s="46">
        <f t="shared" si="2"/>
        <v>25</v>
      </c>
      <c r="L20" s="44">
        <v>1.44</v>
      </c>
      <c r="M20" s="44">
        <v>25</v>
      </c>
      <c r="N20" s="44">
        <f t="shared" si="6"/>
        <v>0.22560000000000002</v>
      </c>
      <c r="O20" s="44">
        <f>1000*worksheet!$F$42*N20/worksheet!$F$52/worksheet!$F$9</f>
        <v>1.2804545003533254</v>
      </c>
      <c r="P20" s="44">
        <f>worksheet!$F$9*O20/worksheet!$F$29/worksheet!$J$11</f>
        <v>4.7599120879120882</v>
      </c>
      <c r="Q20" s="44" t="str">
        <f t="shared" si="3"/>
        <v>DCM</v>
      </c>
      <c r="R20" s="44">
        <f t="shared" si="4"/>
        <v>25</v>
      </c>
      <c r="S20" s="44">
        <f>N20/worksheet!$F$52</f>
        <v>1.1569230769230769</v>
      </c>
      <c r="T20" s="44">
        <f>0.5*worksheet!$F$62/100*worksheet!$F$29*S20*P20*R20/1000*worksheet!$J$11</f>
        <v>6.8663562603550288</v>
      </c>
    </row>
    <row r="21" spans="1:20">
      <c r="A21" s="44">
        <v>1.46</v>
      </c>
      <c r="B21" s="44">
        <v>25</v>
      </c>
      <c r="C21" s="44">
        <f t="shared" si="5"/>
        <v>0.23240000000000002</v>
      </c>
      <c r="D21" s="44">
        <f>1000*worksheet!$F$42*C21/worksheet!$F$52/worksheet!$F$9</f>
        <v>1.3190497601157483</v>
      </c>
      <c r="E21" s="44">
        <f>worksheet!$F$9*D21/worksheet!$F$29/worksheet!$F$11</f>
        <v>5.253626373626374</v>
      </c>
      <c r="F21" s="44" t="str">
        <f t="shared" si="0"/>
        <v>DCM</v>
      </c>
      <c r="G21" s="44">
        <f t="shared" si="1"/>
        <v>25</v>
      </c>
      <c r="H21" s="44">
        <f>C21/worksheet!$F$52</f>
        <v>1.1917948717948719</v>
      </c>
      <c r="I21" s="44">
        <f>0.5*worksheet!$F$62/100*worksheet!$F$29*H21*E21*G21/1000*worksheet!$F$11</f>
        <v>7.286523834319528</v>
      </c>
      <c r="J21" s="46">
        <f t="shared" si="2"/>
        <v>25</v>
      </c>
      <c r="L21" s="44">
        <v>1.46</v>
      </c>
      <c r="M21" s="44">
        <v>25</v>
      </c>
      <c r="N21" s="44">
        <f t="shared" si="6"/>
        <v>0.23240000000000002</v>
      </c>
      <c r="O21" s="44">
        <f>1000*worksheet!$F$42*N21/worksheet!$F$52/worksheet!$F$9</f>
        <v>1.3190497601157483</v>
      </c>
      <c r="P21" s="44">
        <f>worksheet!$F$9*O21/worksheet!$F$29/worksheet!$J$11</f>
        <v>4.9033846153846152</v>
      </c>
      <c r="Q21" s="44" t="str">
        <f t="shared" si="3"/>
        <v>DCM</v>
      </c>
      <c r="R21" s="44">
        <f t="shared" si="4"/>
        <v>25</v>
      </c>
      <c r="S21" s="44">
        <f>N21/worksheet!$F$52</f>
        <v>1.1917948717948719</v>
      </c>
      <c r="T21" s="44">
        <f>0.5*worksheet!$F$62/100*worksheet!$F$29*S21*P21*R21/1000*worksheet!$J$11</f>
        <v>7.2865238343195262</v>
      </c>
    </row>
    <row r="22" spans="1:20">
      <c r="A22" s="44">
        <v>1.48</v>
      </c>
      <c r="B22" s="44">
        <v>25</v>
      </c>
      <c r="C22" s="44">
        <f t="shared" si="5"/>
        <v>0.23920000000000002</v>
      </c>
      <c r="D22" s="44">
        <f>1000*worksheet!$F$42*C22/worksheet!$F$52/worksheet!$F$9</f>
        <v>1.3576450198781713</v>
      </c>
      <c r="E22" s="44">
        <f>worksheet!$F$9*D22/worksheet!$F$29/worksheet!$F$11</f>
        <v>5.4073469387755111</v>
      </c>
      <c r="F22" s="44" t="str">
        <f t="shared" si="0"/>
        <v>DCM</v>
      </c>
      <c r="G22" s="44">
        <f t="shared" si="1"/>
        <v>25</v>
      </c>
      <c r="H22" s="44">
        <f>C22/worksheet!$F$52</f>
        <v>1.2266666666666668</v>
      </c>
      <c r="I22" s="44">
        <f>0.5*worksheet!$F$62/100*worksheet!$F$29*H22*E22*G22/1000*worksheet!$F$11</f>
        <v>7.7191680000000016</v>
      </c>
      <c r="J22" s="46">
        <f t="shared" si="2"/>
        <v>25</v>
      </c>
      <c r="L22" s="44">
        <v>1.48</v>
      </c>
      <c r="M22" s="44">
        <v>25</v>
      </c>
      <c r="N22" s="44">
        <f t="shared" si="6"/>
        <v>0.23920000000000002</v>
      </c>
      <c r="O22" s="44">
        <f>1000*worksheet!$F$42*N22/worksheet!$F$52/worksheet!$F$9</f>
        <v>1.3576450198781713</v>
      </c>
      <c r="P22" s="44">
        <f>worksheet!$F$9*O22/worksheet!$F$29/worksheet!$J$11</f>
        <v>5.046857142857144</v>
      </c>
      <c r="Q22" s="44" t="str">
        <f t="shared" si="3"/>
        <v>DCM</v>
      </c>
      <c r="R22" s="44">
        <f t="shared" si="4"/>
        <v>25</v>
      </c>
      <c r="S22" s="44">
        <f>N22/worksheet!$F$52</f>
        <v>1.2266666666666668</v>
      </c>
      <c r="T22" s="44">
        <f>0.5*worksheet!$F$62/100*worksheet!$F$29*S22*P22*R22/1000*worksheet!$J$11</f>
        <v>7.7191680000000025</v>
      </c>
    </row>
    <row r="23" spans="1:20">
      <c r="A23" s="44">
        <v>1.5</v>
      </c>
      <c r="B23" s="44">
        <v>25</v>
      </c>
      <c r="C23" s="44">
        <f t="shared" si="5"/>
        <v>0.24600000000000002</v>
      </c>
      <c r="D23" s="44">
        <f>1000*worksheet!$F$42*C23/worksheet!$F$52/worksheet!$F$9</f>
        <v>1.3962402796405942</v>
      </c>
      <c r="E23" s="44">
        <f>worksheet!$F$9*D23/worksheet!$F$29/worksheet!$F$11</f>
        <v>5.5610675039246464</v>
      </c>
      <c r="F23" s="44" t="str">
        <f t="shared" si="0"/>
        <v>DCM</v>
      </c>
      <c r="G23" s="44">
        <f t="shared" si="1"/>
        <v>25</v>
      </c>
      <c r="H23" s="44">
        <f>C23/worksheet!$F$52</f>
        <v>1.2615384615384617</v>
      </c>
      <c r="I23" s="44">
        <f>0.5*worksheet!$F$62/100*worksheet!$F$29*H23*E23*G23/1000*worksheet!$F$11</f>
        <v>8.1642887573964504</v>
      </c>
      <c r="J23" s="46">
        <f t="shared" si="2"/>
        <v>25</v>
      </c>
      <c r="L23" s="44">
        <v>1.5</v>
      </c>
      <c r="M23" s="44">
        <v>25</v>
      </c>
      <c r="N23" s="44">
        <f t="shared" si="6"/>
        <v>0.24600000000000002</v>
      </c>
      <c r="O23" s="44">
        <f>1000*worksheet!$F$42*N23/worksheet!$F$52/worksheet!$F$9</f>
        <v>1.3962402796405942</v>
      </c>
      <c r="P23" s="44">
        <f>worksheet!$F$9*O23/worksheet!$F$29/worksheet!$J$11</f>
        <v>5.1903296703296702</v>
      </c>
      <c r="Q23" s="44" t="str">
        <f t="shared" si="3"/>
        <v>DCM</v>
      </c>
      <c r="R23" s="44">
        <f t="shared" si="4"/>
        <v>25</v>
      </c>
      <c r="S23" s="44">
        <f>N23/worksheet!$F$52</f>
        <v>1.2615384615384617</v>
      </c>
      <c r="T23" s="44">
        <f>0.5*worksheet!$F$62/100*worksheet!$F$29*S23*P23*R23/1000*worksheet!$J$11</f>
        <v>8.1642887573964504</v>
      </c>
    </row>
    <row r="24" spans="1:20">
      <c r="A24" s="44">
        <v>1.52</v>
      </c>
      <c r="B24" s="44">
        <v>25</v>
      </c>
      <c r="C24" s="44">
        <f t="shared" si="5"/>
        <v>0.25280000000000002</v>
      </c>
      <c r="D24" s="44">
        <f>1000*worksheet!$F$42*C24/worksheet!$F$52/worksheet!$F$9</f>
        <v>1.434835539403017</v>
      </c>
      <c r="E24" s="44">
        <f>worksheet!$F$9*D24/worksheet!$F$29/worksheet!$F$11</f>
        <v>5.7147880690737836</v>
      </c>
      <c r="F24" s="44" t="str">
        <f t="shared" si="0"/>
        <v>DCM</v>
      </c>
      <c r="G24" s="44">
        <f t="shared" si="1"/>
        <v>25</v>
      </c>
      <c r="H24" s="44">
        <f>C24/worksheet!$F$52</f>
        <v>1.2964102564102564</v>
      </c>
      <c r="I24" s="44">
        <f>0.5*worksheet!$F$62/100*worksheet!$F$29*H24*E24*G24/1000*worksheet!$F$11</f>
        <v>8.6218861065088781</v>
      </c>
      <c r="J24" s="46">
        <f t="shared" si="2"/>
        <v>25</v>
      </c>
      <c r="L24" s="44">
        <v>1.52</v>
      </c>
      <c r="M24" s="44">
        <v>25</v>
      </c>
      <c r="N24" s="44">
        <f t="shared" si="6"/>
        <v>0.25280000000000002</v>
      </c>
      <c r="O24" s="44">
        <f>1000*worksheet!$F$42*N24/worksheet!$F$52/worksheet!$F$9</f>
        <v>1.434835539403017</v>
      </c>
      <c r="P24" s="44">
        <f>worksheet!$F$9*O24/worksheet!$F$29/worksheet!$J$11</f>
        <v>5.3338021978021981</v>
      </c>
      <c r="Q24" s="44" t="str">
        <f t="shared" si="3"/>
        <v>DCM</v>
      </c>
      <c r="R24" s="44">
        <f t="shared" si="4"/>
        <v>25</v>
      </c>
      <c r="S24" s="44">
        <f>N24/worksheet!$F$52</f>
        <v>1.2964102564102564</v>
      </c>
      <c r="T24" s="44">
        <f>0.5*worksheet!$F$62/100*worksheet!$F$29*S24*P24*R24/1000*worksheet!$J$11</f>
        <v>8.6218861065088763</v>
      </c>
    </row>
    <row r="25" spans="1:20">
      <c r="A25" s="44">
        <v>1.54</v>
      </c>
      <c r="B25" s="44">
        <v>25</v>
      </c>
      <c r="C25" s="44">
        <f t="shared" si="5"/>
        <v>0.25960000000000005</v>
      </c>
      <c r="D25" s="44">
        <f>1000*worksheet!$F$42*C25/worksheet!$F$52/worksheet!$F$9</f>
        <v>1.4734307991654401</v>
      </c>
      <c r="E25" s="44">
        <f>worksheet!$F$9*D25/worksheet!$F$29/worksheet!$F$11</f>
        <v>5.8685086342229207</v>
      </c>
      <c r="F25" s="44" t="str">
        <f t="shared" si="0"/>
        <v>DCM</v>
      </c>
      <c r="G25" s="44">
        <f t="shared" si="1"/>
        <v>25</v>
      </c>
      <c r="H25" s="44">
        <f>C25/worksheet!$F$52</f>
        <v>1.3312820512820516</v>
      </c>
      <c r="I25" s="44">
        <f>0.5*worksheet!$F$62/100*worksheet!$F$29*H25*E25*G25/1000*worksheet!$F$11</f>
        <v>9.091960047337281</v>
      </c>
      <c r="J25" s="46">
        <f t="shared" si="2"/>
        <v>25</v>
      </c>
      <c r="L25" s="44">
        <v>1.54</v>
      </c>
      <c r="M25" s="44">
        <v>25</v>
      </c>
      <c r="N25" s="44">
        <f t="shared" si="6"/>
        <v>0.25960000000000005</v>
      </c>
      <c r="O25" s="44">
        <f>1000*worksheet!$F$42*N25/worksheet!$F$52/worksheet!$F$9</f>
        <v>1.4734307991654401</v>
      </c>
      <c r="P25" s="44">
        <f>worksheet!$F$9*O25/worksheet!$F$29/worksheet!$J$11</f>
        <v>5.477274725274726</v>
      </c>
      <c r="Q25" s="44" t="str">
        <f t="shared" si="3"/>
        <v>DCM</v>
      </c>
      <c r="R25" s="44">
        <f t="shared" si="4"/>
        <v>25</v>
      </c>
      <c r="S25" s="44">
        <f>N25/worksheet!$F$52</f>
        <v>1.3312820512820516</v>
      </c>
      <c r="T25" s="44">
        <f>0.5*worksheet!$F$62/100*worksheet!$F$29*S25*P25*R25/1000*worksheet!$J$11</f>
        <v>9.091960047337281</v>
      </c>
    </row>
    <row r="26" spans="1:20">
      <c r="A26" s="44">
        <v>1.56</v>
      </c>
      <c r="B26" s="44">
        <v>25</v>
      </c>
      <c r="C26" s="44">
        <f t="shared" si="5"/>
        <v>0.26640000000000008</v>
      </c>
      <c r="D26" s="44">
        <f>1000*worksheet!$F$42*C26/worksheet!$F$52/worksheet!$F$9</f>
        <v>1.5120260589278631</v>
      </c>
      <c r="E26" s="44">
        <f>worksheet!$F$9*D26/worksheet!$F$29/worksheet!$F$11</f>
        <v>6.0222291993720578</v>
      </c>
      <c r="F26" s="44" t="str">
        <f t="shared" si="0"/>
        <v>DCM</v>
      </c>
      <c r="G26" s="44">
        <f t="shared" si="1"/>
        <v>25</v>
      </c>
      <c r="H26" s="44">
        <f>C26/worksheet!$F$52</f>
        <v>1.3661538461538465</v>
      </c>
      <c r="I26" s="44">
        <f>0.5*worksheet!$F$62/100*worksheet!$F$29*H26*E26*G26/1000*worksheet!$F$11</f>
        <v>9.574510579881661</v>
      </c>
      <c r="J26" s="46">
        <f t="shared" si="2"/>
        <v>25</v>
      </c>
      <c r="L26" s="44">
        <v>1.56</v>
      </c>
      <c r="M26" s="44">
        <v>25</v>
      </c>
      <c r="N26" s="44">
        <f t="shared" si="6"/>
        <v>0.26640000000000008</v>
      </c>
      <c r="O26" s="44">
        <f>1000*worksheet!$F$42*N26/worksheet!$F$52/worksheet!$F$9</f>
        <v>1.5120260589278631</v>
      </c>
      <c r="P26" s="44">
        <f>worksheet!$F$9*O26/worksheet!$F$29/worksheet!$J$11</f>
        <v>5.620747252747254</v>
      </c>
      <c r="Q26" s="44" t="str">
        <f t="shared" si="3"/>
        <v>DCM</v>
      </c>
      <c r="R26" s="44">
        <f t="shared" si="4"/>
        <v>25</v>
      </c>
      <c r="S26" s="44">
        <f>N26/worksheet!$F$52</f>
        <v>1.3661538461538465</v>
      </c>
      <c r="T26" s="44">
        <f>0.5*worksheet!$F$62/100*worksheet!$F$29*S26*P26*R26/1000*worksheet!$J$11</f>
        <v>9.5745105798816628</v>
      </c>
    </row>
    <row r="27" spans="1:20">
      <c r="A27" s="44">
        <v>1.58</v>
      </c>
      <c r="B27" s="44">
        <v>25</v>
      </c>
      <c r="C27" s="44">
        <f t="shared" si="5"/>
        <v>0.27320000000000011</v>
      </c>
      <c r="D27" s="44">
        <f>1000*worksheet!$F$42*C27/worksheet!$F$52/worksheet!$F$9</f>
        <v>1.5506213186902864</v>
      </c>
      <c r="E27" s="44">
        <f>worksheet!$F$9*D27/worksheet!$F$29/worksheet!$F$11</f>
        <v>6.1759497645211949</v>
      </c>
      <c r="F27" s="44" t="str">
        <f t="shared" si="0"/>
        <v>DCM</v>
      </c>
      <c r="G27" s="44">
        <f t="shared" si="1"/>
        <v>25</v>
      </c>
      <c r="H27" s="44">
        <f>C27/worksheet!$F$52</f>
        <v>1.4010256410256416</v>
      </c>
      <c r="I27" s="44">
        <f>0.5*worksheet!$F$62/100*worksheet!$F$29*H27*E27*G27/1000*worksheet!$F$11</f>
        <v>10.069537704142018</v>
      </c>
      <c r="J27" s="46">
        <f t="shared" si="2"/>
        <v>25</v>
      </c>
      <c r="L27" s="44">
        <v>1.58</v>
      </c>
      <c r="M27" s="44">
        <v>25</v>
      </c>
      <c r="N27" s="44">
        <f t="shared" si="6"/>
        <v>0.27320000000000011</v>
      </c>
      <c r="O27" s="44">
        <f>1000*worksheet!$F$42*N27/worksheet!$F$52/worksheet!$F$9</f>
        <v>1.5506213186902864</v>
      </c>
      <c r="P27" s="44">
        <f>worksheet!$F$9*O27/worksheet!$F$29/worksheet!$J$11</f>
        <v>5.7642197802197819</v>
      </c>
      <c r="Q27" s="44" t="str">
        <f t="shared" si="3"/>
        <v>DCM</v>
      </c>
      <c r="R27" s="44">
        <f t="shared" si="4"/>
        <v>25</v>
      </c>
      <c r="S27" s="44">
        <f>N27/worksheet!$F$52</f>
        <v>1.4010256410256416</v>
      </c>
      <c r="T27" s="44">
        <f>0.5*worksheet!$F$62/100*worksheet!$F$29*S27*P27*R27/1000*worksheet!$J$11</f>
        <v>10.069537704142018</v>
      </c>
    </row>
    <row r="28" spans="1:20">
      <c r="A28" s="44">
        <v>1.6</v>
      </c>
      <c r="B28" s="44">
        <v>25</v>
      </c>
      <c r="C28" s="44">
        <v>0.28000000000000003</v>
      </c>
      <c r="D28" s="44">
        <f>1000*worksheet!$F$42*C28/worksheet!$F$52/worksheet!$F$9</f>
        <v>1.5892165784527088</v>
      </c>
      <c r="E28" s="44">
        <f>worksheet!$F$9*D28/worksheet!$F$29/worksheet!$F$11</f>
        <v>6.3296703296703303</v>
      </c>
      <c r="F28" s="44" t="str">
        <f t="shared" si="0"/>
        <v>DCM</v>
      </c>
      <c r="G28" s="44">
        <f t="shared" si="1"/>
        <v>25</v>
      </c>
      <c r="H28" s="44">
        <f>C28/worksheet!$F$52</f>
        <v>1.4358974358974359</v>
      </c>
      <c r="I28" s="44">
        <f>0.5*worksheet!$F$62/100*worksheet!$F$29*H28*E28*G28/1000*worksheet!$F$11</f>
        <v>10.577041420118343</v>
      </c>
      <c r="J28" s="46">
        <f t="shared" si="2"/>
        <v>25</v>
      </c>
      <c r="L28" s="44">
        <v>1.6</v>
      </c>
      <c r="M28" s="44">
        <v>25</v>
      </c>
      <c r="N28" s="44">
        <v>0.28000000000000003</v>
      </c>
      <c r="O28" s="44">
        <f>1000*worksheet!$F$42*N28/worksheet!$F$52/worksheet!$F$9</f>
        <v>1.5892165784527088</v>
      </c>
      <c r="P28" s="44">
        <f>worksheet!$F$9*O28/worksheet!$F$29/worksheet!$J$11</f>
        <v>5.9076923076923089</v>
      </c>
      <c r="Q28" s="44" t="str">
        <f t="shared" si="3"/>
        <v>DCM</v>
      </c>
      <c r="R28" s="44">
        <f t="shared" si="4"/>
        <v>25</v>
      </c>
      <c r="S28" s="44">
        <f>N28/worksheet!$F$52</f>
        <v>1.4358974358974359</v>
      </c>
      <c r="T28" s="44">
        <f>0.5*worksheet!$F$62/100*worksheet!$F$29*S28*P28*R28/1000*worksheet!$J$11</f>
        <v>10.577041420118347</v>
      </c>
    </row>
    <row r="29" spans="1:20">
      <c r="A29" s="44">
        <v>1.62</v>
      </c>
      <c r="B29" s="44">
        <f>B28+($B$53-$B$28)/25</f>
        <v>26.376470588235293</v>
      </c>
      <c r="C29" s="44">
        <v>0.28000000000000003</v>
      </c>
      <c r="D29" s="44">
        <f>1000*worksheet!$F$42*C29/worksheet!$F$52/worksheet!$F$9</f>
        <v>1.5892165784527088</v>
      </c>
      <c r="E29" s="44">
        <f>worksheet!$F$9*D29/worksheet!$F$29/worksheet!$F$11</f>
        <v>6.3296703296703303</v>
      </c>
      <c r="F29" s="44" t="str">
        <f t="shared" si="0"/>
        <v>DCM</v>
      </c>
      <c r="G29" s="44">
        <f t="shared" si="1"/>
        <v>26.376470588235293</v>
      </c>
      <c r="H29" s="44">
        <f>C29/worksheet!$F$52</f>
        <v>1.4358974358974359</v>
      </c>
      <c r="I29" s="44">
        <f>0.5*worksheet!$F$62/100*worksheet!$F$29*H29*E29*G29/1000*worksheet!$F$11</f>
        <v>11.159400877131917</v>
      </c>
      <c r="J29" s="46">
        <f t="shared" si="2"/>
        <v>26.376470588235293</v>
      </c>
      <c r="L29" s="44">
        <v>1.62</v>
      </c>
      <c r="M29" s="44">
        <f>M28+($M$53-$M$28)/25</f>
        <v>26.44705882352941</v>
      </c>
      <c r="N29" s="44">
        <v>0.28000000000000003</v>
      </c>
      <c r="O29" s="44">
        <f>1000*worksheet!$F$42*N29/worksheet!$F$52/worksheet!$F$9</f>
        <v>1.5892165784527088</v>
      </c>
      <c r="P29" s="44">
        <f>worksheet!$F$9*O29/worksheet!$F$29/worksheet!$J$11</f>
        <v>5.9076923076923089</v>
      </c>
      <c r="Q29" s="44" t="str">
        <f t="shared" si="3"/>
        <v>DCM</v>
      </c>
      <c r="R29" s="44">
        <f t="shared" si="4"/>
        <v>26.44705882352941</v>
      </c>
      <c r="S29" s="44">
        <f>N29/worksheet!$F$52</f>
        <v>1.4358974358974359</v>
      </c>
      <c r="T29" s="44">
        <f>0.5*worksheet!$F$62/100*worksheet!$F$29*S29*P29*R29/1000*worksheet!$J$11</f>
        <v>11.189265464671077</v>
      </c>
    </row>
    <row r="30" spans="1:20">
      <c r="A30" s="44">
        <v>1.64</v>
      </c>
      <c r="B30" s="44">
        <f t="shared" ref="B30:B52" si="7">B29+($B$53-$B$28)/25</f>
        <v>27.752941176470586</v>
      </c>
      <c r="C30" s="44">
        <v>0.28000000000000003</v>
      </c>
      <c r="D30" s="44">
        <f>1000*worksheet!$F$42*C30/worksheet!$F$52/worksheet!$F$9</f>
        <v>1.5892165784527088</v>
      </c>
      <c r="E30" s="44">
        <f>worksheet!$F$9*D30/worksheet!$F$29/worksheet!$F$11</f>
        <v>6.3296703296703303</v>
      </c>
      <c r="F30" s="44" t="str">
        <f t="shared" si="0"/>
        <v>DCM</v>
      </c>
      <c r="G30" s="44">
        <f t="shared" si="1"/>
        <v>27.752941176470586</v>
      </c>
      <c r="H30" s="44">
        <f>C30/worksheet!$F$52</f>
        <v>1.4358974358974359</v>
      </c>
      <c r="I30" s="44">
        <f>0.5*worksheet!$F$62/100*worksheet!$F$29*H30*E30*G30/1000*worksheet!$F$11</f>
        <v>11.741760334145491</v>
      </c>
      <c r="J30" s="46">
        <f t="shared" si="2"/>
        <v>27.752941176470586</v>
      </c>
      <c r="L30" s="44">
        <v>1.64</v>
      </c>
      <c r="M30" s="44">
        <f t="shared" ref="M30:M52" si="8">M29+($M$53-$M$28)/25</f>
        <v>27.89411764705882</v>
      </c>
      <c r="N30" s="44">
        <v>0.28000000000000003</v>
      </c>
      <c r="O30" s="44">
        <f>1000*worksheet!$F$42*N30/worksheet!$F$52/worksheet!$F$9</f>
        <v>1.5892165784527088</v>
      </c>
      <c r="P30" s="44">
        <f>worksheet!$F$9*O30/worksheet!$F$29/worksheet!$J$11</f>
        <v>5.9076923076923089</v>
      </c>
      <c r="Q30" s="44" t="str">
        <f t="shared" si="3"/>
        <v>DCM</v>
      </c>
      <c r="R30" s="44">
        <f t="shared" si="4"/>
        <v>27.89411764705882</v>
      </c>
      <c r="S30" s="44">
        <f>N30/worksheet!$F$52</f>
        <v>1.4358974358974359</v>
      </c>
      <c r="T30" s="44">
        <f>0.5*worksheet!$F$62/100*worksheet!$F$29*S30*P30*R30/1000*worksheet!$J$11</f>
        <v>11.801489509223808</v>
      </c>
    </row>
    <row r="31" spans="1:20">
      <c r="A31" s="44">
        <v>1.66</v>
      </c>
      <c r="B31" s="44">
        <f t="shared" si="7"/>
        <v>29.129411764705878</v>
      </c>
      <c r="C31" s="44">
        <v>0.28000000000000003</v>
      </c>
      <c r="D31" s="44">
        <f>1000*worksheet!$F$42*C31/worksheet!$F$52/worksheet!$F$9</f>
        <v>1.5892165784527088</v>
      </c>
      <c r="E31" s="44">
        <f>worksheet!$F$9*D31/worksheet!$F$29/worksheet!$F$11</f>
        <v>6.3296703296703303</v>
      </c>
      <c r="F31" s="44" t="str">
        <f t="shared" si="0"/>
        <v>DCM</v>
      </c>
      <c r="G31" s="44">
        <f t="shared" si="1"/>
        <v>29.129411764705878</v>
      </c>
      <c r="H31" s="44">
        <f>C31/worksheet!$F$52</f>
        <v>1.4358974358974359</v>
      </c>
      <c r="I31" s="44">
        <f>0.5*worksheet!$F$62/100*worksheet!$F$29*H31*E31*G31/1000*worksheet!$F$11</f>
        <v>12.324119791159065</v>
      </c>
      <c r="J31" s="46">
        <f t="shared" si="2"/>
        <v>29.129411764705878</v>
      </c>
      <c r="L31" s="44">
        <v>1.66</v>
      </c>
      <c r="M31" s="44">
        <f t="shared" si="8"/>
        <v>29.341176470588231</v>
      </c>
      <c r="N31" s="44">
        <v>0.28000000000000003</v>
      </c>
      <c r="O31" s="44">
        <f>1000*worksheet!$F$42*N31/worksheet!$F$52/worksheet!$F$9</f>
        <v>1.5892165784527088</v>
      </c>
      <c r="P31" s="44">
        <f>worksheet!$F$9*O31/worksheet!$F$29/worksheet!$J$11</f>
        <v>5.9076923076923089</v>
      </c>
      <c r="Q31" s="44" t="str">
        <f t="shared" si="3"/>
        <v>DCM</v>
      </c>
      <c r="R31" s="44">
        <f t="shared" si="4"/>
        <v>29.341176470588231</v>
      </c>
      <c r="S31" s="44">
        <f>N31/worksheet!$F$52</f>
        <v>1.4358974358974359</v>
      </c>
      <c r="T31" s="44">
        <f>0.5*worksheet!$F$62/100*worksheet!$F$29*S31*P31*R31/1000*worksheet!$J$11</f>
        <v>12.413713553776541</v>
      </c>
    </row>
    <row r="32" spans="1:20">
      <c r="A32" s="44">
        <v>1.68</v>
      </c>
      <c r="B32" s="44">
        <f t="shared" si="7"/>
        <v>30.505882352941171</v>
      </c>
      <c r="C32" s="44">
        <v>0.28000000000000003</v>
      </c>
      <c r="D32" s="44">
        <f>1000*worksheet!$F$42*C32/worksheet!$F$52/worksheet!$F$9</f>
        <v>1.5892165784527088</v>
      </c>
      <c r="E32" s="44">
        <f>worksheet!$F$9*D32/worksheet!$F$29/worksheet!$F$11</f>
        <v>6.3296703296703303</v>
      </c>
      <c r="F32" s="44" t="str">
        <f t="shared" si="0"/>
        <v>DCM</v>
      </c>
      <c r="G32" s="44">
        <f t="shared" si="1"/>
        <v>30.505882352941171</v>
      </c>
      <c r="H32" s="44">
        <f>C32/worksheet!$F$52</f>
        <v>1.4358974358974359</v>
      </c>
      <c r="I32" s="44">
        <f>0.5*worksheet!$F$62/100*worksheet!$F$29*H32*E32*G32/1000*worksheet!$F$11</f>
        <v>12.906479248172639</v>
      </c>
      <c r="J32" s="46">
        <f t="shared" si="2"/>
        <v>30.505882352941171</v>
      </c>
      <c r="L32" s="44">
        <v>1.68</v>
      </c>
      <c r="M32" s="44">
        <f t="shared" si="8"/>
        <v>30.788235294117641</v>
      </c>
      <c r="N32" s="44">
        <v>0.28000000000000003</v>
      </c>
      <c r="O32" s="44">
        <f>1000*worksheet!$F$42*N32/worksheet!$F$52/worksheet!$F$9</f>
        <v>1.5892165784527088</v>
      </c>
      <c r="P32" s="44">
        <f>worksheet!$F$9*O32/worksheet!$F$29/worksheet!$J$11</f>
        <v>5.9076923076923089</v>
      </c>
      <c r="Q32" s="44" t="str">
        <f t="shared" si="3"/>
        <v>DCM</v>
      </c>
      <c r="R32" s="44">
        <f t="shared" si="4"/>
        <v>30.788235294117641</v>
      </c>
      <c r="S32" s="44">
        <f>N32/worksheet!$F$52</f>
        <v>1.4358974358974359</v>
      </c>
      <c r="T32" s="44">
        <f>0.5*worksheet!$F$62/100*worksheet!$F$29*S32*P32*R32/1000*worksheet!$J$11</f>
        <v>13.025937598329273</v>
      </c>
    </row>
    <row r="33" spans="1:20">
      <c r="A33" s="44">
        <v>1.7</v>
      </c>
      <c r="B33" s="44">
        <f t="shared" si="7"/>
        <v>31.882352941176464</v>
      </c>
      <c r="C33" s="44">
        <v>0.28000000000000003</v>
      </c>
      <c r="D33" s="44">
        <f>1000*worksheet!$F$42*C33/worksheet!$F$52/worksheet!$F$9</f>
        <v>1.5892165784527088</v>
      </c>
      <c r="E33" s="44">
        <f>worksheet!$F$9*D33/worksheet!$F$29/worksheet!$F$11</f>
        <v>6.3296703296703303</v>
      </c>
      <c r="F33" s="44" t="str">
        <f t="shared" si="0"/>
        <v>DCM</v>
      </c>
      <c r="G33" s="44">
        <f t="shared" si="1"/>
        <v>31.882352941176464</v>
      </c>
      <c r="H33" s="44">
        <f>C33/worksheet!$F$52</f>
        <v>1.4358974358974359</v>
      </c>
      <c r="I33" s="44">
        <f>0.5*worksheet!$F$62/100*worksheet!$F$29*H33*E33*G33/1000*worksheet!$F$11</f>
        <v>13.488838705186215</v>
      </c>
      <c r="J33" s="46">
        <f t="shared" si="2"/>
        <v>31.882352941176464</v>
      </c>
      <c r="L33" s="44">
        <v>1.7</v>
      </c>
      <c r="M33" s="44">
        <f t="shared" si="8"/>
        <v>32.235294117647051</v>
      </c>
      <c r="N33" s="44">
        <v>0.28000000000000003</v>
      </c>
      <c r="O33" s="44">
        <f>1000*worksheet!$F$42*N33/worksheet!$F$52/worksheet!$F$9</f>
        <v>1.5892165784527088</v>
      </c>
      <c r="P33" s="44">
        <f>worksheet!$F$9*O33/worksheet!$F$29/worksheet!$J$11</f>
        <v>5.9076923076923089</v>
      </c>
      <c r="Q33" s="44" t="str">
        <f t="shared" si="3"/>
        <v>DCM</v>
      </c>
      <c r="R33" s="44">
        <f t="shared" si="4"/>
        <v>32.235294117647051</v>
      </c>
      <c r="S33" s="44">
        <f>N33/worksheet!$F$52</f>
        <v>1.4358974358974359</v>
      </c>
      <c r="T33" s="44">
        <f>0.5*worksheet!$F$62/100*worksheet!$F$29*S33*P33*R33/1000*worksheet!$J$11</f>
        <v>13.638161642882004</v>
      </c>
    </row>
    <row r="34" spans="1:20">
      <c r="A34" s="44">
        <v>1.72</v>
      </c>
      <c r="B34" s="44">
        <f t="shared" si="7"/>
        <v>33.258823529411757</v>
      </c>
      <c r="C34" s="44">
        <v>0.28000000000000003</v>
      </c>
      <c r="D34" s="44">
        <f>1000*worksheet!$F$42*C34/worksheet!$F$52/worksheet!$F$9</f>
        <v>1.5892165784527088</v>
      </c>
      <c r="E34" s="44">
        <f>worksheet!$F$9*D34/worksheet!$F$29/worksheet!$F$11</f>
        <v>6.3296703296703303</v>
      </c>
      <c r="F34" s="44" t="str">
        <f t="shared" si="0"/>
        <v>DCM</v>
      </c>
      <c r="G34" s="44">
        <f t="shared" si="1"/>
        <v>33.258823529411757</v>
      </c>
      <c r="H34" s="44">
        <f>C34/worksheet!$F$52</f>
        <v>1.4358974358974359</v>
      </c>
      <c r="I34" s="44">
        <f>0.5*worksheet!$F$62/100*worksheet!$F$29*H34*E34*G34/1000*worksheet!$F$11</f>
        <v>14.071198162199789</v>
      </c>
      <c r="J34" s="46">
        <f t="shared" si="2"/>
        <v>33.258823529411757</v>
      </c>
      <c r="L34" s="44">
        <v>1.72</v>
      </c>
      <c r="M34" s="44">
        <f t="shared" si="8"/>
        <v>33.682352941176461</v>
      </c>
      <c r="N34" s="44">
        <v>0.28000000000000003</v>
      </c>
      <c r="O34" s="44">
        <f>1000*worksheet!$F$42*N34/worksheet!$F$52/worksheet!$F$9</f>
        <v>1.5892165784527088</v>
      </c>
      <c r="P34" s="44">
        <f>worksheet!$F$9*O34/worksheet!$F$29/worksheet!$J$11</f>
        <v>5.9076923076923089</v>
      </c>
      <c r="Q34" s="44" t="str">
        <f t="shared" si="3"/>
        <v>DCM</v>
      </c>
      <c r="R34" s="44">
        <f t="shared" si="4"/>
        <v>33.682352941176461</v>
      </c>
      <c r="S34" s="44">
        <f>N34/worksheet!$F$52</f>
        <v>1.4358974358974359</v>
      </c>
      <c r="T34" s="44">
        <f>0.5*worksheet!$F$62/100*worksheet!$F$29*S34*P34*R34/1000*worksheet!$J$11</f>
        <v>14.250385687434736</v>
      </c>
    </row>
    <row r="35" spans="1:20">
      <c r="A35" s="44">
        <v>1.74</v>
      </c>
      <c r="B35" s="44">
        <f t="shared" si="7"/>
        <v>34.635294117647049</v>
      </c>
      <c r="C35" s="44">
        <v>0.28000000000000003</v>
      </c>
      <c r="D35" s="44">
        <f>1000*worksheet!$F$42*C35/worksheet!$F$52/worksheet!$F$9</f>
        <v>1.5892165784527088</v>
      </c>
      <c r="E35" s="44">
        <f>worksheet!$F$9*D35/worksheet!$F$29/worksheet!$F$11</f>
        <v>6.3296703296703303</v>
      </c>
      <c r="F35" s="44" t="str">
        <f t="shared" si="0"/>
        <v>DCM</v>
      </c>
      <c r="G35" s="44">
        <f t="shared" si="1"/>
        <v>34.635294117647049</v>
      </c>
      <c r="H35" s="44">
        <f>C35/worksheet!$F$52</f>
        <v>1.4358974358974359</v>
      </c>
      <c r="I35" s="44">
        <f>0.5*worksheet!$F$62/100*worksheet!$F$29*H35*E35*G35/1000*worksheet!$F$11</f>
        <v>14.653557619213363</v>
      </c>
      <c r="J35" s="46">
        <f t="shared" si="2"/>
        <v>34.635294117647049</v>
      </c>
      <c r="L35" s="44">
        <v>1.74</v>
      </c>
      <c r="M35" s="44">
        <f t="shared" si="8"/>
        <v>35.129411764705871</v>
      </c>
      <c r="N35" s="44">
        <v>0.28000000000000003</v>
      </c>
      <c r="O35" s="44">
        <f>1000*worksheet!$F$42*N35/worksheet!$F$52/worksheet!$F$9</f>
        <v>1.5892165784527088</v>
      </c>
      <c r="P35" s="44">
        <f>worksheet!$F$9*O35/worksheet!$F$29/worksheet!$J$11</f>
        <v>5.9076923076923089</v>
      </c>
      <c r="Q35" s="44" t="str">
        <f t="shared" si="3"/>
        <v>DCM</v>
      </c>
      <c r="R35" s="44">
        <f t="shared" si="4"/>
        <v>35.129411764705871</v>
      </c>
      <c r="S35" s="44">
        <f>N35/worksheet!$F$52</f>
        <v>1.4358974358974359</v>
      </c>
      <c r="T35" s="44">
        <f>0.5*worksheet!$F$62/100*worksheet!$F$29*S35*P35*R35/1000*worksheet!$J$11</f>
        <v>14.862609731987469</v>
      </c>
    </row>
    <row r="36" spans="1:20">
      <c r="A36" s="44">
        <v>1.76</v>
      </c>
      <c r="B36" s="44">
        <f t="shared" si="7"/>
        <v>36.011764705882342</v>
      </c>
      <c r="C36" s="44">
        <v>0.28000000000000003</v>
      </c>
      <c r="D36" s="44">
        <f>1000*worksheet!$F$42*C36/worksheet!$F$52/worksheet!$F$9</f>
        <v>1.5892165784527088</v>
      </c>
      <c r="E36" s="44">
        <f>worksheet!$F$9*D36/worksheet!$F$29/worksheet!$F$11</f>
        <v>6.3296703296703303</v>
      </c>
      <c r="F36" s="44" t="str">
        <f t="shared" si="0"/>
        <v>DCM</v>
      </c>
      <c r="G36" s="44">
        <f t="shared" si="1"/>
        <v>36.011764705882342</v>
      </c>
      <c r="H36" s="44">
        <f>C36/worksheet!$F$52</f>
        <v>1.4358974358974359</v>
      </c>
      <c r="I36" s="44">
        <f>0.5*worksheet!$F$62/100*worksheet!$F$29*H36*E36*G36/1000*worksheet!$F$11</f>
        <v>15.235917076226936</v>
      </c>
      <c r="J36" s="46">
        <f t="shared" si="2"/>
        <v>36.011764705882342</v>
      </c>
      <c r="L36" s="44">
        <v>1.76</v>
      </c>
      <c r="M36" s="44">
        <f t="shared" si="8"/>
        <v>36.576470588235281</v>
      </c>
      <c r="N36" s="44">
        <v>0.28000000000000003</v>
      </c>
      <c r="O36" s="44">
        <f>1000*worksheet!$F$42*N36/worksheet!$F$52/worksheet!$F$9</f>
        <v>1.5892165784527088</v>
      </c>
      <c r="P36" s="44">
        <f>worksheet!$F$9*O36/worksheet!$F$29/worksheet!$J$11</f>
        <v>5.9076923076923089</v>
      </c>
      <c r="Q36" s="44" t="str">
        <f t="shared" si="3"/>
        <v>DCM</v>
      </c>
      <c r="R36" s="44">
        <f t="shared" si="4"/>
        <v>36.576470588235281</v>
      </c>
      <c r="S36" s="44">
        <f>N36/worksheet!$F$52</f>
        <v>1.4358974358974359</v>
      </c>
      <c r="T36" s="44">
        <f>0.5*worksheet!$F$62/100*worksheet!$F$29*S36*P36*R36/1000*worksheet!$J$11</f>
        <v>15.474833776540198</v>
      </c>
    </row>
    <row r="37" spans="1:20">
      <c r="A37" s="44">
        <v>1.78</v>
      </c>
      <c r="B37" s="44">
        <f t="shared" si="7"/>
        <v>37.388235294117635</v>
      </c>
      <c r="C37" s="44">
        <v>0.28000000000000003</v>
      </c>
      <c r="D37" s="44">
        <f>1000*worksheet!$F$42*C37/worksheet!$F$52/worksheet!$F$9</f>
        <v>1.5892165784527088</v>
      </c>
      <c r="E37" s="44">
        <f>worksheet!$F$9*D37/worksheet!$F$29/worksheet!$F$11</f>
        <v>6.3296703296703303</v>
      </c>
      <c r="F37" s="44" t="str">
        <f t="shared" si="0"/>
        <v>DCM</v>
      </c>
      <c r="G37" s="44">
        <f t="shared" si="1"/>
        <v>37.388235294117635</v>
      </c>
      <c r="H37" s="44">
        <f>C37/worksheet!$F$52</f>
        <v>1.4358974358974359</v>
      </c>
      <c r="I37" s="44">
        <f>0.5*worksheet!$F$62/100*worksheet!$F$29*H37*E37*G37/1000*worksheet!$F$11</f>
        <v>15.81827653324051</v>
      </c>
      <c r="J37" s="46">
        <f t="shared" si="2"/>
        <v>37.388235294117635</v>
      </c>
      <c r="L37" s="44">
        <v>1.78</v>
      </c>
      <c r="M37" s="44">
        <f t="shared" si="8"/>
        <v>38.023529411764692</v>
      </c>
      <c r="N37" s="44">
        <v>0.28000000000000003</v>
      </c>
      <c r="O37" s="44">
        <f>1000*worksheet!$F$42*N37/worksheet!$F$52/worksheet!$F$9</f>
        <v>1.5892165784527088</v>
      </c>
      <c r="P37" s="44">
        <f>worksheet!$F$9*O37/worksheet!$F$29/worksheet!$J$11</f>
        <v>5.9076923076923089</v>
      </c>
      <c r="Q37" s="44" t="str">
        <f t="shared" si="3"/>
        <v>DCM</v>
      </c>
      <c r="R37" s="44">
        <f t="shared" si="4"/>
        <v>38.023529411764692</v>
      </c>
      <c r="S37" s="44">
        <f>N37/worksheet!$F$52</f>
        <v>1.4358974358974359</v>
      </c>
      <c r="T37" s="44">
        <f>0.5*worksheet!$F$62/100*worksheet!$F$29*S37*P37*R37/1000*worksheet!$J$11</f>
        <v>16.087057821092934</v>
      </c>
    </row>
    <row r="38" spans="1:20">
      <c r="A38" s="44">
        <v>1.8</v>
      </c>
      <c r="B38" s="44">
        <f t="shared" si="7"/>
        <v>38.764705882352928</v>
      </c>
      <c r="C38" s="44">
        <v>0.28000000000000003</v>
      </c>
      <c r="D38" s="44">
        <f>1000*worksheet!$F$42*C38/worksheet!$F$52/worksheet!$F$9</f>
        <v>1.5892165784527088</v>
      </c>
      <c r="E38" s="44">
        <f>worksheet!$F$9*D38/worksheet!$F$29/worksheet!$F$11</f>
        <v>6.3296703296703303</v>
      </c>
      <c r="F38" s="44" t="str">
        <f t="shared" si="0"/>
        <v>DCM</v>
      </c>
      <c r="G38" s="44">
        <f t="shared" si="1"/>
        <v>38.764705882352928</v>
      </c>
      <c r="H38" s="44">
        <f>C38/worksheet!$F$52</f>
        <v>1.4358974358974359</v>
      </c>
      <c r="I38" s="44">
        <f>0.5*worksheet!$F$62/100*worksheet!$F$29*H38*E38*G38/1000*worksheet!$F$11</f>
        <v>16.400635990254084</v>
      </c>
      <c r="J38" s="46">
        <f t="shared" si="2"/>
        <v>38.764705882352928</v>
      </c>
      <c r="L38" s="44">
        <v>1.8</v>
      </c>
      <c r="M38" s="44">
        <f t="shared" si="8"/>
        <v>39.470588235294102</v>
      </c>
      <c r="N38" s="44">
        <v>0.28000000000000003</v>
      </c>
      <c r="O38" s="44">
        <f>1000*worksheet!$F$42*N38/worksheet!$F$52/worksheet!$F$9</f>
        <v>1.5892165784527088</v>
      </c>
      <c r="P38" s="44">
        <f>worksheet!$F$9*O38/worksheet!$F$29/worksheet!$J$11</f>
        <v>5.9076923076923089</v>
      </c>
      <c r="Q38" s="44" t="str">
        <f t="shared" si="3"/>
        <v>DCM</v>
      </c>
      <c r="R38" s="44">
        <f t="shared" si="4"/>
        <v>39.470588235294102</v>
      </c>
      <c r="S38" s="44">
        <f>N38/worksheet!$F$52</f>
        <v>1.4358974358974359</v>
      </c>
      <c r="T38" s="44">
        <f>0.5*worksheet!$F$62/100*worksheet!$F$29*S38*P38*R38/1000*worksheet!$J$11</f>
        <v>16.699281865645663</v>
      </c>
    </row>
    <row r="39" spans="1:20">
      <c r="A39" s="44">
        <v>1.82</v>
      </c>
      <c r="B39" s="44">
        <f t="shared" si="7"/>
        <v>40.141176470588221</v>
      </c>
      <c r="C39" s="44">
        <v>0.28000000000000003</v>
      </c>
      <c r="D39" s="44">
        <f>1000*worksheet!$F$42*C39/worksheet!$F$52/worksheet!$F$9</f>
        <v>1.5892165784527088</v>
      </c>
      <c r="E39" s="44">
        <f>worksheet!$F$9*D39/worksheet!$F$29/worksheet!$F$11</f>
        <v>6.3296703296703303</v>
      </c>
      <c r="F39" s="44" t="str">
        <f t="shared" si="0"/>
        <v>DCM</v>
      </c>
      <c r="G39" s="44">
        <f t="shared" si="1"/>
        <v>40.141176470588221</v>
      </c>
      <c r="H39" s="44">
        <f>C39/worksheet!$F$52</f>
        <v>1.4358974358974359</v>
      </c>
      <c r="I39" s="44">
        <f>0.5*worksheet!$F$62/100*worksheet!$F$29*H39*E39*G39/1000*worksheet!$F$11</f>
        <v>16.982995447267658</v>
      </c>
      <c r="J39" s="46">
        <f t="shared" si="2"/>
        <v>40.141176470588221</v>
      </c>
      <c r="L39" s="44">
        <v>1.82</v>
      </c>
      <c r="M39" s="44">
        <f t="shared" si="8"/>
        <v>40.917647058823512</v>
      </c>
      <c r="N39" s="44">
        <v>0.28000000000000003</v>
      </c>
      <c r="O39" s="44">
        <f>1000*worksheet!$F$42*N39/worksheet!$F$52/worksheet!$F$9</f>
        <v>1.5892165784527088</v>
      </c>
      <c r="P39" s="44">
        <f>worksheet!$F$9*O39/worksheet!$F$29/worksheet!$J$11</f>
        <v>5.9076923076923089</v>
      </c>
      <c r="Q39" s="44" t="str">
        <f t="shared" si="3"/>
        <v>DCM</v>
      </c>
      <c r="R39" s="44">
        <f t="shared" si="4"/>
        <v>40.917647058823512</v>
      </c>
      <c r="S39" s="44">
        <f>N39/worksheet!$F$52</f>
        <v>1.4358974358974359</v>
      </c>
      <c r="T39" s="44">
        <f>0.5*worksheet!$F$62/100*worksheet!$F$29*S39*P39*R39/1000*worksheet!$J$11</f>
        <v>17.311505910198395</v>
      </c>
    </row>
    <row r="40" spans="1:20">
      <c r="A40" s="44">
        <v>1.84</v>
      </c>
      <c r="B40" s="44">
        <f t="shared" si="7"/>
        <v>41.517647058823513</v>
      </c>
      <c r="C40" s="44">
        <v>0.28000000000000003</v>
      </c>
      <c r="D40" s="44">
        <f>1000*worksheet!$F$42*C40/worksheet!$F$52/worksheet!$F$9</f>
        <v>1.5892165784527088</v>
      </c>
      <c r="E40" s="44">
        <f>worksheet!$F$9*D40/worksheet!$F$29/worksheet!$F$11</f>
        <v>6.3296703296703303</v>
      </c>
      <c r="F40" s="44" t="str">
        <f t="shared" si="0"/>
        <v>DCM</v>
      </c>
      <c r="G40" s="44">
        <f t="shared" si="1"/>
        <v>41.517647058823513</v>
      </c>
      <c r="H40" s="44">
        <f>C40/worksheet!$F$52</f>
        <v>1.4358974358974359</v>
      </c>
      <c r="I40" s="44">
        <f>0.5*worksheet!$F$62/100*worksheet!$F$29*H40*E40*G40/1000*worksheet!$F$11</f>
        <v>17.565354904281232</v>
      </c>
      <c r="J40" s="46">
        <f t="shared" si="2"/>
        <v>41.517647058823513</v>
      </c>
      <c r="L40" s="44">
        <v>1.84</v>
      </c>
      <c r="M40" s="44">
        <f t="shared" si="8"/>
        <v>42.364705882352922</v>
      </c>
      <c r="N40" s="44">
        <v>0.28000000000000003</v>
      </c>
      <c r="O40" s="44">
        <f>1000*worksheet!$F$42*N40/worksheet!$F$52/worksheet!$F$9</f>
        <v>1.5892165784527088</v>
      </c>
      <c r="P40" s="44">
        <f>worksheet!$F$9*O40/worksheet!$F$29/worksheet!$J$11</f>
        <v>5.9076923076923089</v>
      </c>
      <c r="Q40" s="44" t="str">
        <f t="shared" si="3"/>
        <v>DCM</v>
      </c>
      <c r="R40" s="44">
        <f t="shared" si="4"/>
        <v>42.364705882352922</v>
      </c>
      <c r="S40" s="44">
        <f>N40/worksheet!$F$52</f>
        <v>1.4358974358974359</v>
      </c>
      <c r="T40" s="44">
        <f>0.5*worksheet!$F$62/100*worksheet!$F$29*S40*P40*R40/1000*worksheet!$J$11</f>
        <v>17.923729954751128</v>
      </c>
    </row>
    <row r="41" spans="1:20">
      <c r="A41" s="44">
        <v>1.86</v>
      </c>
      <c r="B41" s="44">
        <f t="shared" si="7"/>
        <v>42.894117647058806</v>
      </c>
      <c r="C41" s="44">
        <v>0.28000000000000003</v>
      </c>
      <c r="D41" s="44">
        <f>1000*worksheet!$F$42*C41/worksheet!$F$52/worksheet!$F$9</f>
        <v>1.5892165784527088</v>
      </c>
      <c r="E41" s="44">
        <f>worksheet!$F$9*D41/worksheet!$F$29/worksheet!$F$11</f>
        <v>6.3296703296703303</v>
      </c>
      <c r="F41" s="44" t="str">
        <f t="shared" si="0"/>
        <v>DCM</v>
      </c>
      <c r="G41" s="44">
        <f t="shared" si="1"/>
        <v>42.894117647058806</v>
      </c>
      <c r="H41" s="44">
        <f>C41/worksheet!$F$52</f>
        <v>1.4358974358974359</v>
      </c>
      <c r="I41" s="44">
        <f>0.5*worksheet!$F$62/100*worksheet!$F$29*H41*E41*G41/1000*worksheet!$F$11</f>
        <v>18.147714361294806</v>
      </c>
      <c r="J41" s="46">
        <f t="shared" si="2"/>
        <v>42.894117647058806</v>
      </c>
      <c r="L41" s="44">
        <v>1.86</v>
      </c>
      <c r="M41" s="44">
        <f t="shared" si="8"/>
        <v>43.811764705882332</v>
      </c>
      <c r="N41" s="44">
        <v>0.28000000000000003</v>
      </c>
      <c r="O41" s="44">
        <f>1000*worksheet!$F$42*N41/worksheet!$F$52/worksheet!$F$9</f>
        <v>1.5892165784527088</v>
      </c>
      <c r="P41" s="44">
        <f>worksheet!$F$9*O41/worksheet!$F$29/worksheet!$J$11</f>
        <v>5.9076923076923089</v>
      </c>
      <c r="Q41" s="44" t="str">
        <f t="shared" si="3"/>
        <v>DCM</v>
      </c>
      <c r="R41" s="44">
        <f t="shared" si="4"/>
        <v>43.811764705882332</v>
      </c>
      <c r="S41" s="44">
        <f>N41/worksheet!$F$52</f>
        <v>1.4358974358974359</v>
      </c>
      <c r="T41" s="44">
        <f>0.5*worksheet!$F$62/100*worksheet!$F$29*S41*P41*R41/1000*worksheet!$J$11</f>
        <v>18.535953999303857</v>
      </c>
    </row>
    <row r="42" spans="1:20">
      <c r="A42" s="44">
        <v>1.88</v>
      </c>
      <c r="B42" s="44">
        <f t="shared" si="7"/>
        <v>44.270588235294099</v>
      </c>
      <c r="C42" s="44">
        <v>0.28000000000000003</v>
      </c>
      <c r="D42" s="44">
        <f>1000*worksheet!$F$42*C42/worksheet!$F$52/worksheet!$F$9</f>
        <v>1.5892165784527088</v>
      </c>
      <c r="E42" s="44">
        <f>worksheet!$F$9*D42/worksheet!$F$29/worksheet!$F$11</f>
        <v>6.3296703296703303</v>
      </c>
      <c r="F42" s="44" t="str">
        <f t="shared" si="0"/>
        <v>DCM</v>
      </c>
      <c r="G42" s="44">
        <f t="shared" si="1"/>
        <v>44.270588235294099</v>
      </c>
      <c r="H42" s="44">
        <f>C42/worksheet!$F$52</f>
        <v>1.4358974358974359</v>
      </c>
      <c r="I42" s="44">
        <f>0.5*worksheet!$F$62/100*worksheet!$F$29*H42*E42*G42/1000*worksheet!$F$11</f>
        <v>18.73007381830838</v>
      </c>
      <c r="J42" s="46">
        <f t="shared" si="2"/>
        <v>44.270588235294099</v>
      </c>
      <c r="L42" s="44">
        <v>1.88</v>
      </c>
      <c r="M42" s="44">
        <f t="shared" si="8"/>
        <v>45.258823529411742</v>
      </c>
      <c r="N42" s="44">
        <v>0.28000000000000003</v>
      </c>
      <c r="O42" s="44">
        <f>1000*worksheet!$F$42*N42/worksheet!$F$52/worksheet!$F$9</f>
        <v>1.5892165784527088</v>
      </c>
      <c r="P42" s="44">
        <f>worksheet!$F$9*O42/worksheet!$F$29/worksheet!$J$11</f>
        <v>5.9076923076923089</v>
      </c>
      <c r="Q42" s="44" t="str">
        <f t="shared" si="3"/>
        <v>DCM</v>
      </c>
      <c r="R42" s="44">
        <f t="shared" si="4"/>
        <v>45.258823529411742</v>
      </c>
      <c r="S42" s="44">
        <f>N42/worksheet!$F$52</f>
        <v>1.4358974358974359</v>
      </c>
      <c r="T42" s="44">
        <f>0.5*worksheet!$F$62/100*worksheet!$F$29*S42*P42*R42/1000*worksheet!$J$11</f>
        <v>19.148178043856589</v>
      </c>
    </row>
    <row r="43" spans="1:20">
      <c r="A43" s="44">
        <v>1.9</v>
      </c>
      <c r="B43" s="44">
        <f t="shared" si="7"/>
        <v>45.647058823529392</v>
      </c>
      <c r="C43" s="44">
        <v>0.28000000000000003</v>
      </c>
      <c r="D43" s="44">
        <f>1000*worksheet!$F$42*C43/worksheet!$F$52/worksheet!$F$9</f>
        <v>1.5892165784527088</v>
      </c>
      <c r="E43" s="44">
        <f>worksheet!$F$9*D43/worksheet!$F$29/worksheet!$F$11</f>
        <v>6.3296703296703303</v>
      </c>
      <c r="F43" s="44" t="str">
        <f t="shared" si="0"/>
        <v>DCM</v>
      </c>
      <c r="G43" s="44">
        <f t="shared" si="1"/>
        <v>45.647058823529392</v>
      </c>
      <c r="H43" s="44">
        <f>C43/worksheet!$F$52</f>
        <v>1.4358974358974359</v>
      </c>
      <c r="I43" s="44">
        <f>0.5*worksheet!$F$62/100*worksheet!$F$29*H43*E43*G43/1000*worksheet!$F$11</f>
        <v>19.312433275321958</v>
      </c>
      <c r="J43" s="46">
        <f t="shared" si="2"/>
        <v>45.647058823529392</v>
      </c>
      <c r="L43" s="44">
        <v>1.9</v>
      </c>
      <c r="M43" s="44">
        <f t="shared" si="8"/>
        <v>46.705882352941153</v>
      </c>
      <c r="N43" s="44">
        <v>0.28000000000000003</v>
      </c>
      <c r="O43" s="44">
        <f>1000*worksheet!$F$42*N43/worksheet!$F$52/worksheet!$F$9</f>
        <v>1.5892165784527088</v>
      </c>
      <c r="P43" s="44">
        <f>worksheet!$F$9*O43/worksheet!$F$29/worksheet!$J$11</f>
        <v>5.9076923076923089</v>
      </c>
      <c r="Q43" s="44" t="str">
        <f t="shared" si="3"/>
        <v>DCM</v>
      </c>
      <c r="R43" s="44">
        <f t="shared" si="4"/>
        <v>46.705882352941153</v>
      </c>
      <c r="S43" s="44">
        <f>N43/worksheet!$F$52</f>
        <v>1.4358974358974359</v>
      </c>
      <c r="T43" s="44">
        <f>0.5*worksheet!$F$62/100*worksheet!$F$29*S43*P43*R43/1000*worksheet!$J$11</f>
        <v>19.760402088409322</v>
      </c>
    </row>
    <row r="44" spans="1:20">
      <c r="A44" s="44">
        <v>1.92</v>
      </c>
      <c r="B44" s="44">
        <f t="shared" si="7"/>
        <v>47.023529411764684</v>
      </c>
      <c r="C44" s="44">
        <v>0.28000000000000003</v>
      </c>
      <c r="D44" s="44">
        <f>1000*worksheet!$F$42*C44/worksheet!$F$52/worksheet!$F$9</f>
        <v>1.5892165784527088</v>
      </c>
      <c r="E44" s="44">
        <f>worksheet!$F$9*D44/worksheet!$F$29/worksheet!$F$11</f>
        <v>6.3296703296703303</v>
      </c>
      <c r="F44" s="44" t="str">
        <f t="shared" si="0"/>
        <v>DCM</v>
      </c>
      <c r="G44" s="44">
        <f t="shared" si="1"/>
        <v>47.023529411764684</v>
      </c>
      <c r="H44" s="44">
        <f>C44/worksheet!$F$52</f>
        <v>1.4358974358974359</v>
      </c>
      <c r="I44" s="44">
        <f>0.5*worksheet!$F$62/100*worksheet!$F$29*H44*E44*G44/1000*worksheet!$F$11</f>
        <v>19.894792732335528</v>
      </c>
      <c r="J44" s="46">
        <f t="shared" si="2"/>
        <v>47.023529411764684</v>
      </c>
      <c r="L44" s="44">
        <v>1.92</v>
      </c>
      <c r="M44" s="44">
        <f t="shared" si="8"/>
        <v>48.152941176470563</v>
      </c>
      <c r="N44" s="44">
        <v>0.28000000000000003</v>
      </c>
      <c r="O44" s="44">
        <f>1000*worksheet!$F$42*N44/worksheet!$F$52/worksheet!$F$9</f>
        <v>1.5892165784527088</v>
      </c>
      <c r="P44" s="44">
        <f>worksheet!$F$9*O44/worksheet!$F$29/worksheet!$J$11</f>
        <v>5.9076923076923089</v>
      </c>
      <c r="Q44" s="44" t="str">
        <f t="shared" si="3"/>
        <v>DCM</v>
      </c>
      <c r="R44" s="44">
        <f t="shared" si="4"/>
        <v>48.152941176470563</v>
      </c>
      <c r="S44" s="44">
        <f>N44/worksheet!$F$52</f>
        <v>1.4358974358974359</v>
      </c>
      <c r="T44" s="44">
        <f>0.5*worksheet!$F$62/100*worksheet!$F$29*S44*P44*R44/1000*worksheet!$J$11</f>
        <v>20.372626132962054</v>
      </c>
    </row>
    <row r="45" spans="1:20">
      <c r="A45" s="44">
        <v>1.94</v>
      </c>
      <c r="B45" s="44">
        <f t="shared" si="7"/>
        <v>48.399999999999977</v>
      </c>
      <c r="C45" s="44">
        <v>0.28000000000000003</v>
      </c>
      <c r="D45" s="44">
        <f>1000*worksheet!$F$42*C45/worksheet!$F$52/worksheet!$F$9</f>
        <v>1.5892165784527088</v>
      </c>
      <c r="E45" s="44">
        <f>worksheet!$F$9*D45/worksheet!$F$29/worksheet!$F$11</f>
        <v>6.3296703296703303</v>
      </c>
      <c r="F45" s="44" t="str">
        <f t="shared" si="0"/>
        <v>DCM</v>
      </c>
      <c r="G45" s="44">
        <f t="shared" si="1"/>
        <v>48.399999999999977</v>
      </c>
      <c r="H45" s="44">
        <f>C45/worksheet!$F$52</f>
        <v>1.4358974358974359</v>
      </c>
      <c r="I45" s="44">
        <f>0.5*worksheet!$F$62/100*worksheet!$F$29*H45*E45*G45/1000*worksheet!$F$11</f>
        <v>20.477152189349102</v>
      </c>
      <c r="J45" s="46">
        <f t="shared" si="2"/>
        <v>48.399999999999977</v>
      </c>
      <c r="L45" s="44">
        <v>1.94</v>
      </c>
      <c r="M45" s="44">
        <f t="shared" si="8"/>
        <v>49.599999999999973</v>
      </c>
      <c r="N45" s="44">
        <v>0.28000000000000003</v>
      </c>
      <c r="O45" s="44">
        <f>1000*worksheet!$F$42*N45/worksheet!$F$52/worksheet!$F$9</f>
        <v>1.5892165784527088</v>
      </c>
      <c r="P45" s="44">
        <f>worksheet!$F$9*O45/worksheet!$F$29/worksheet!$J$11</f>
        <v>5.9076923076923089</v>
      </c>
      <c r="Q45" s="44" t="str">
        <f t="shared" si="3"/>
        <v>DCM</v>
      </c>
      <c r="R45" s="44">
        <f t="shared" si="4"/>
        <v>49.599999999999973</v>
      </c>
      <c r="S45" s="44">
        <f>N45/worksheet!$F$52</f>
        <v>1.4358974358974359</v>
      </c>
      <c r="T45" s="44">
        <f>0.5*worksheet!$F$62/100*worksheet!$F$29*S45*P45*R45/1000*worksheet!$J$11</f>
        <v>20.98485017751479</v>
      </c>
    </row>
    <row r="46" spans="1:20">
      <c r="A46" s="44">
        <v>1.96</v>
      </c>
      <c r="B46" s="44">
        <f t="shared" si="7"/>
        <v>49.77647058823527</v>
      </c>
      <c r="C46" s="44">
        <v>0.28000000000000003</v>
      </c>
      <c r="D46" s="44">
        <f>1000*worksheet!$F$42*C46/worksheet!$F$52/worksheet!$F$9</f>
        <v>1.5892165784527088</v>
      </c>
      <c r="E46" s="44">
        <f>worksheet!$F$9*D46/worksheet!$F$29/worksheet!$F$11</f>
        <v>6.3296703296703303</v>
      </c>
      <c r="F46" s="44" t="str">
        <f t="shared" si="0"/>
        <v>DCM</v>
      </c>
      <c r="G46" s="44">
        <f t="shared" si="1"/>
        <v>49.77647058823527</v>
      </c>
      <c r="H46" s="44">
        <f>C46/worksheet!$F$52</f>
        <v>1.4358974358974359</v>
      </c>
      <c r="I46" s="44">
        <f>0.5*worksheet!$F$62/100*worksheet!$F$29*H46*E46*G46/1000*worksheet!$F$11</f>
        <v>21.059511646362679</v>
      </c>
      <c r="J46" s="46">
        <f t="shared" si="2"/>
        <v>49.77647058823527</v>
      </c>
      <c r="L46" s="44">
        <v>1.96</v>
      </c>
      <c r="M46" s="44">
        <f t="shared" si="8"/>
        <v>51.047058823529383</v>
      </c>
      <c r="N46" s="44">
        <v>0.28000000000000003</v>
      </c>
      <c r="O46" s="44">
        <f>1000*worksheet!$F$42*N46/worksheet!$F$52/worksheet!$F$9</f>
        <v>1.5892165784527088</v>
      </c>
      <c r="P46" s="44">
        <f>worksheet!$F$9*O46/worksheet!$F$29/worksheet!$J$11</f>
        <v>5.9076923076923089</v>
      </c>
      <c r="Q46" s="44" t="str">
        <f t="shared" si="3"/>
        <v>DCM</v>
      </c>
      <c r="R46" s="44">
        <f t="shared" si="4"/>
        <v>51.047058823529383</v>
      </c>
      <c r="S46" s="44">
        <f>N46/worksheet!$F$52</f>
        <v>1.4358974358974359</v>
      </c>
      <c r="T46" s="44">
        <f>0.5*worksheet!$F$62/100*worksheet!$F$29*S46*P46*R46/1000*worksheet!$J$11</f>
        <v>21.597074222067519</v>
      </c>
    </row>
    <row r="47" spans="1:20">
      <c r="A47" s="44">
        <v>1.98</v>
      </c>
      <c r="B47" s="44">
        <f t="shared" si="7"/>
        <v>51.152941176470563</v>
      </c>
      <c r="C47" s="44">
        <v>0.28000000000000003</v>
      </c>
      <c r="D47" s="44">
        <f>1000*worksheet!$F$42*C47/worksheet!$F$52/worksheet!$F$9</f>
        <v>1.5892165784527088</v>
      </c>
      <c r="E47" s="44">
        <f>worksheet!$F$9*D47/worksheet!$F$29/worksheet!$F$11</f>
        <v>6.3296703296703303</v>
      </c>
      <c r="F47" s="44" t="str">
        <f t="shared" si="0"/>
        <v>DCM</v>
      </c>
      <c r="G47" s="44">
        <f t="shared" si="1"/>
        <v>51.152941176470563</v>
      </c>
      <c r="H47" s="44">
        <f>C47/worksheet!$F$52</f>
        <v>1.4358974358974359</v>
      </c>
      <c r="I47" s="44">
        <f>0.5*worksheet!$F$62/100*worksheet!$F$29*H47*E47*G47/1000*worksheet!$F$11</f>
        <v>21.64187110337625</v>
      </c>
      <c r="J47" s="46">
        <f t="shared" si="2"/>
        <v>51.152941176470563</v>
      </c>
      <c r="L47" s="44">
        <v>1.98</v>
      </c>
      <c r="M47" s="44">
        <f t="shared" si="8"/>
        <v>52.494117647058793</v>
      </c>
      <c r="N47" s="44">
        <v>0.28000000000000003</v>
      </c>
      <c r="O47" s="44">
        <f>1000*worksheet!$F$42*N47/worksheet!$F$52/worksheet!$F$9</f>
        <v>1.5892165784527088</v>
      </c>
      <c r="P47" s="44">
        <f>worksheet!$F$9*O47/worksheet!$F$29/worksheet!$J$11</f>
        <v>5.9076923076923089</v>
      </c>
      <c r="Q47" s="44" t="str">
        <f t="shared" si="3"/>
        <v>DCM</v>
      </c>
      <c r="R47" s="44">
        <f t="shared" si="4"/>
        <v>52.494117647058793</v>
      </c>
      <c r="S47" s="44">
        <f>N47/worksheet!$F$52</f>
        <v>1.4358974358974359</v>
      </c>
      <c r="T47" s="44">
        <f>0.5*worksheet!$F$62/100*worksheet!$F$29*S47*P47*R47/1000*worksheet!$J$11</f>
        <v>22.209298266620252</v>
      </c>
    </row>
    <row r="48" spans="1:20">
      <c r="A48" s="44">
        <v>2</v>
      </c>
      <c r="B48" s="44">
        <f t="shared" si="7"/>
        <v>52.529411764705856</v>
      </c>
      <c r="C48" s="44">
        <v>0.28000000000000003</v>
      </c>
      <c r="D48" s="44">
        <f>1000*worksheet!$F$42*C48/worksheet!$F$52/worksheet!$F$9</f>
        <v>1.5892165784527088</v>
      </c>
      <c r="E48" s="44">
        <f>worksheet!$F$9*D48/worksheet!$F$29/worksheet!$F$11</f>
        <v>6.3296703296703303</v>
      </c>
      <c r="F48" s="44" t="str">
        <f t="shared" si="0"/>
        <v>DCM</v>
      </c>
      <c r="G48" s="44">
        <f t="shared" si="1"/>
        <v>52.529411764705856</v>
      </c>
      <c r="H48" s="44">
        <f>C48/worksheet!$F$52</f>
        <v>1.4358974358974359</v>
      </c>
      <c r="I48" s="44">
        <f>0.5*worksheet!$F$62/100*worksheet!$F$29*H48*E48*G48/1000*worksheet!$F$11</f>
        <v>22.224230560389824</v>
      </c>
      <c r="J48" s="46">
        <f t="shared" si="2"/>
        <v>52.529411764705856</v>
      </c>
      <c r="L48" s="44">
        <v>2</v>
      </c>
      <c r="M48" s="44">
        <f t="shared" si="8"/>
        <v>53.941176470588204</v>
      </c>
      <c r="N48" s="44">
        <v>0.28000000000000003</v>
      </c>
      <c r="O48" s="44">
        <f>1000*worksheet!$F$42*N48/worksheet!$F$52/worksheet!$F$9</f>
        <v>1.5892165784527088</v>
      </c>
      <c r="P48" s="44">
        <f>worksheet!$F$9*O48/worksheet!$F$29/worksheet!$J$11</f>
        <v>5.9076923076923089</v>
      </c>
      <c r="Q48" s="44" t="str">
        <f t="shared" si="3"/>
        <v>DCM</v>
      </c>
      <c r="R48" s="44">
        <f t="shared" si="4"/>
        <v>53.941176470588204</v>
      </c>
      <c r="S48" s="44">
        <f>N48/worksheet!$F$52</f>
        <v>1.4358974358974359</v>
      </c>
      <c r="T48" s="44">
        <f>0.5*worksheet!$F$62/100*worksheet!$F$29*S48*P48*R48/1000*worksheet!$J$11</f>
        <v>22.821522311172981</v>
      </c>
    </row>
    <row r="49" spans="1:20">
      <c r="A49" s="44">
        <v>2.02</v>
      </c>
      <c r="B49" s="44">
        <f t="shared" si="7"/>
        <v>53.905882352941148</v>
      </c>
      <c r="C49" s="44">
        <v>0.28000000000000003</v>
      </c>
      <c r="D49" s="44">
        <f>1000*worksheet!$F$42*C49/worksheet!$F$52/worksheet!$F$9</f>
        <v>1.5892165784527088</v>
      </c>
      <c r="E49" s="44">
        <f>worksheet!$F$9*D49/worksheet!$F$29/worksheet!$F$11</f>
        <v>6.3296703296703303</v>
      </c>
      <c r="F49" s="44" t="str">
        <f t="shared" si="0"/>
        <v>DCM</v>
      </c>
      <c r="G49" s="44">
        <f t="shared" si="1"/>
        <v>53.905882352941148</v>
      </c>
      <c r="H49" s="44">
        <f>C49/worksheet!$F$52</f>
        <v>1.4358974358974359</v>
      </c>
      <c r="I49" s="44">
        <f>0.5*worksheet!$F$62/100*worksheet!$F$29*H49*E49*G49/1000*worksheet!$F$11</f>
        <v>22.806590017403401</v>
      </c>
      <c r="J49" s="46">
        <f t="shared" si="2"/>
        <v>53.905882352941148</v>
      </c>
      <c r="L49" s="44">
        <v>2.02</v>
      </c>
      <c r="M49" s="44">
        <f t="shared" si="8"/>
        <v>55.388235294117614</v>
      </c>
      <c r="N49" s="44">
        <v>0.28000000000000003</v>
      </c>
      <c r="O49" s="44">
        <f>1000*worksheet!$F$42*N49/worksheet!$F$52/worksheet!$F$9</f>
        <v>1.5892165784527088</v>
      </c>
      <c r="P49" s="44">
        <f>worksheet!$F$9*O49/worksheet!$F$29/worksheet!$J$11</f>
        <v>5.9076923076923089</v>
      </c>
      <c r="Q49" s="44" t="str">
        <f t="shared" si="3"/>
        <v>DCM</v>
      </c>
      <c r="R49" s="44">
        <f t="shared" si="4"/>
        <v>55.388235294117614</v>
      </c>
      <c r="S49" s="44">
        <f>N49/worksheet!$F$52</f>
        <v>1.4358974358974359</v>
      </c>
      <c r="T49" s="44">
        <f>0.5*worksheet!$F$62/100*worksheet!$F$29*S49*P49*R49/1000*worksheet!$J$11</f>
        <v>23.433746355725713</v>
      </c>
    </row>
    <row r="50" spans="1:20">
      <c r="A50" s="44">
        <v>2.04</v>
      </c>
      <c r="B50" s="44">
        <f t="shared" si="7"/>
        <v>55.282352941176441</v>
      </c>
      <c r="C50" s="44">
        <v>0.28000000000000003</v>
      </c>
      <c r="D50" s="44">
        <f>1000*worksheet!$F$42*C50/worksheet!$F$52/worksheet!$F$9</f>
        <v>1.5892165784527088</v>
      </c>
      <c r="E50" s="44">
        <f>worksheet!$F$9*D50/worksheet!$F$29/worksheet!$F$11</f>
        <v>6.3296703296703303</v>
      </c>
      <c r="F50" s="44" t="str">
        <f t="shared" si="0"/>
        <v>DCM</v>
      </c>
      <c r="G50" s="44">
        <f t="shared" si="1"/>
        <v>55.282352941176441</v>
      </c>
      <c r="H50" s="44">
        <f>C50/worksheet!$F$52</f>
        <v>1.4358974358974359</v>
      </c>
      <c r="I50" s="44">
        <f>0.5*worksheet!$F$62/100*worksheet!$F$29*H50*E50*G50/1000*worksheet!$F$11</f>
        <v>23.388949474416972</v>
      </c>
      <c r="J50" s="46">
        <f t="shared" si="2"/>
        <v>55.282352941176441</v>
      </c>
      <c r="L50" s="44">
        <v>2.04</v>
      </c>
      <c r="M50" s="44">
        <f t="shared" si="8"/>
        <v>56.835294117647024</v>
      </c>
      <c r="N50" s="44">
        <v>0.28000000000000003</v>
      </c>
      <c r="O50" s="44">
        <f>1000*worksheet!$F$42*N50/worksheet!$F$52/worksheet!$F$9</f>
        <v>1.5892165784527088</v>
      </c>
      <c r="P50" s="44">
        <f>worksheet!$F$9*O50/worksheet!$F$29/worksheet!$J$11</f>
        <v>5.9076923076923089</v>
      </c>
      <c r="Q50" s="44" t="str">
        <f t="shared" si="3"/>
        <v>DCM</v>
      </c>
      <c r="R50" s="44">
        <f t="shared" si="4"/>
        <v>56.835294117647024</v>
      </c>
      <c r="S50" s="44">
        <f>N50/worksheet!$F$52</f>
        <v>1.4358974358974359</v>
      </c>
      <c r="T50" s="44">
        <f>0.5*worksheet!$F$62/100*worksheet!$F$29*S50*P50*R50/1000*worksheet!$J$11</f>
        <v>24.045970400278442</v>
      </c>
    </row>
    <row r="51" spans="1:20">
      <c r="A51" s="44">
        <v>2.06</v>
      </c>
      <c r="B51" s="44">
        <f t="shared" si="7"/>
        <v>56.658823529411734</v>
      </c>
      <c r="C51" s="44">
        <v>0.28000000000000003</v>
      </c>
      <c r="D51" s="44">
        <f>1000*worksheet!$F$42*C51/worksheet!$F$52/worksheet!$F$9</f>
        <v>1.5892165784527088</v>
      </c>
      <c r="E51" s="44">
        <f>worksheet!$F$9*D51/worksheet!$F$29/worksheet!$F$11</f>
        <v>6.3296703296703303</v>
      </c>
      <c r="F51" s="44" t="str">
        <f t="shared" si="0"/>
        <v>DCM</v>
      </c>
      <c r="G51" s="44">
        <f t="shared" si="1"/>
        <v>56.658823529411734</v>
      </c>
      <c r="H51" s="44">
        <f>C51/worksheet!$F$52</f>
        <v>1.4358974358974359</v>
      </c>
      <c r="I51" s="44">
        <f>0.5*worksheet!$F$62/100*worksheet!$F$29*H51*E51*G51/1000*worksheet!$F$11</f>
        <v>23.971308931430549</v>
      </c>
      <c r="J51" s="46">
        <f t="shared" si="2"/>
        <v>56.658823529411734</v>
      </c>
      <c r="L51" s="44">
        <v>2.06</v>
      </c>
      <c r="M51" s="44">
        <f t="shared" si="8"/>
        <v>58.282352941176434</v>
      </c>
      <c r="N51" s="44">
        <v>0.28000000000000003</v>
      </c>
      <c r="O51" s="44">
        <f>1000*worksheet!$F$42*N51/worksheet!$F$52/worksheet!$F$9</f>
        <v>1.5892165784527088</v>
      </c>
      <c r="P51" s="44">
        <f>worksheet!$F$9*O51/worksheet!$F$29/worksheet!$J$11</f>
        <v>5.9076923076923089</v>
      </c>
      <c r="Q51" s="44" t="str">
        <f t="shared" si="3"/>
        <v>DCM</v>
      </c>
      <c r="R51" s="44">
        <f t="shared" si="4"/>
        <v>58.282352941176434</v>
      </c>
      <c r="S51" s="44">
        <f>N51/worksheet!$F$52</f>
        <v>1.4358974358974359</v>
      </c>
      <c r="T51" s="44">
        <f>0.5*worksheet!$F$62/100*worksheet!$F$29*S51*P51*R51/1000*worksheet!$J$11</f>
        <v>24.658194444831175</v>
      </c>
    </row>
    <row r="52" spans="1:20">
      <c r="A52" s="44">
        <v>2.08</v>
      </c>
      <c r="B52" s="44">
        <f t="shared" si="7"/>
        <v>58.035294117647027</v>
      </c>
      <c r="C52" s="44">
        <v>0.28000000000000003</v>
      </c>
      <c r="D52" s="44">
        <f>1000*worksheet!$F$42*C52/worksheet!$F$52/worksheet!$F$9</f>
        <v>1.5892165784527088</v>
      </c>
      <c r="E52" s="44">
        <f>worksheet!$F$9*D52/worksheet!$F$29/worksheet!$F$11</f>
        <v>6.3296703296703303</v>
      </c>
      <c r="F52" s="44" t="str">
        <f t="shared" si="0"/>
        <v>DCM</v>
      </c>
      <c r="G52" s="44">
        <f t="shared" si="1"/>
        <v>58.035294117647027</v>
      </c>
      <c r="H52" s="44">
        <f>C52/worksheet!$F$52</f>
        <v>1.4358974358974359</v>
      </c>
      <c r="I52" s="44">
        <f>0.5*worksheet!$F$62/100*worksheet!$F$29*H52*E52*G52/1000*worksheet!$F$11</f>
        <v>24.553668388444123</v>
      </c>
      <c r="J52" s="46">
        <f t="shared" si="2"/>
        <v>58.035294117647027</v>
      </c>
      <c r="L52" s="44">
        <v>2.08</v>
      </c>
      <c r="M52" s="44">
        <f t="shared" si="8"/>
        <v>59.729411764705844</v>
      </c>
      <c r="N52" s="44">
        <v>0.28000000000000003</v>
      </c>
      <c r="O52" s="44">
        <f>1000*worksheet!$F$42*N52/worksheet!$F$52/worksheet!$F$9</f>
        <v>1.5892165784527088</v>
      </c>
      <c r="P52" s="44">
        <f>worksheet!$F$9*O52/worksheet!$F$29/worksheet!$J$11</f>
        <v>5.9076923076923089</v>
      </c>
      <c r="Q52" s="44" t="str">
        <f t="shared" si="3"/>
        <v>DCM</v>
      </c>
      <c r="R52" s="44">
        <f t="shared" si="4"/>
        <v>59.729411764705844</v>
      </c>
      <c r="S52" s="44">
        <f>N52/worksheet!$F$52</f>
        <v>1.4358974358974359</v>
      </c>
      <c r="T52" s="44">
        <f>0.5*worksheet!$F$62/100*worksheet!$F$29*S52*P52*R52/1000*worksheet!$J$11</f>
        <v>25.270418489383907</v>
      </c>
    </row>
    <row r="53" spans="1:20">
      <c r="A53" s="44">
        <v>2.1</v>
      </c>
      <c r="B53" s="44">
        <f>40+(worksheet!$F$17-40)*(worksheet!$F$11-3)/(worksheet!$F$14-3)</f>
        <v>59.411764705882348</v>
      </c>
      <c r="C53" s="44">
        <v>0.28000000000000003</v>
      </c>
      <c r="D53" s="44">
        <f>1000*worksheet!$F$42*C53/worksheet!$F$52/worksheet!$F$9</f>
        <v>1.5892165784527088</v>
      </c>
      <c r="E53" s="44">
        <f>worksheet!$F$9*D53/worksheet!$F$29/worksheet!$F$11</f>
        <v>6.3296703296703303</v>
      </c>
      <c r="F53" s="44" t="str">
        <f t="shared" si="0"/>
        <v>DCM</v>
      </c>
      <c r="G53" s="44">
        <f t="shared" si="1"/>
        <v>59.411764705882348</v>
      </c>
      <c r="H53" s="44">
        <f>C53/worksheet!$F$52</f>
        <v>1.4358974358974359</v>
      </c>
      <c r="I53" s="44">
        <f>0.5*worksheet!$F$62/100*worksheet!$F$29*H53*E53*G53/1000*worksheet!$F$11</f>
        <v>25.136027845457708</v>
      </c>
      <c r="J53" s="46">
        <f t="shared" si="2"/>
        <v>59.411764705882348</v>
      </c>
      <c r="L53" s="44">
        <v>2.1</v>
      </c>
      <c r="M53" s="44">
        <f>40+(worksheet!$F$17-40)*(worksheet!$J$11-3)/(worksheet!$F$14-3)</f>
        <v>61.17647058823529</v>
      </c>
      <c r="N53" s="44">
        <v>0.28000000000000003</v>
      </c>
      <c r="O53" s="44">
        <f>1000*worksheet!$F$42*N53/worksheet!$F$52/worksheet!$F$9</f>
        <v>1.5892165784527088</v>
      </c>
      <c r="P53" s="44">
        <f>worksheet!$F$9*O53/worksheet!$F$29/worksheet!$J$11</f>
        <v>5.9076923076923089</v>
      </c>
      <c r="Q53" s="44" t="str">
        <f t="shared" si="3"/>
        <v>DCM</v>
      </c>
      <c r="R53" s="44">
        <f t="shared" si="4"/>
        <v>61.17647058823529</v>
      </c>
      <c r="S53" s="44">
        <f>N53/worksheet!$F$52</f>
        <v>1.4358974358974359</v>
      </c>
      <c r="T53" s="44">
        <f>0.5*worksheet!$F$62/100*worksheet!$F$29*S53*P53*R53/1000*worksheet!$J$11</f>
        <v>25.882642533936654</v>
      </c>
    </row>
    <row r="54" spans="1:20">
      <c r="A54" s="44">
        <v>2.12</v>
      </c>
      <c r="B54" s="44">
        <f>40+(worksheet!$F$17-40)*(worksheet!$F$11-3)/(worksheet!$F$14-3)</f>
        <v>59.411764705882348</v>
      </c>
      <c r="C54" s="44">
        <f>C53+($C$113-$C$53)/60</f>
        <v>0.28366666666666668</v>
      </c>
      <c r="D54" s="44">
        <f>1000*worksheet!$F$42*C54/worksheet!$F$52/worksheet!$F$9</f>
        <v>1.6100277479324465</v>
      </c>
      <c r="E54" s="44">
        <f>worksheet!$F$9*D54/worksheet!$F$29/worksheet!$F$11</f>
        <v>6.4125588697017264</v>
      </c>
      <c r="F54" s="44" t="str">
        <f t="shared" si="0"/>
        <v>DCM</v>
      </c>
      <c r="G54" s="44">
        <f t="shared" si="1"/>
        <v>59.411764705882348</v>
      </c>
      <c r="H54" s="44">
        <f>C54/worksheet!$F$52</f>
        <v>1.4547008547008546</v>
      </c>
      <c r="I54" s="44">
        <f>0.5*worksheet!$F$62/100*worksheet!$F$29*H54*E54*G54/1000*worksheet!$F$11</f>
        <v>25.798662842557135</v>
      </c>
      <c r="J54" s="46">
        <f t="shared" si="2"/>
        <v>59.411764705882348</v>
      </c>
      <c r="L54" s="44">
        <v>2.12</v>
      </c>
      <c r="M54" s="44">
        <f>40+(worksheet!$F$17-40)*(worksheet!$J$11-3)/(worksheet!$F$14-3)</f>
        <v>61.17647058823529</v>
      </c>
      <c r="N54" s="44">
        <f>N53+($C$113-$C$53)/60</f>
        <v>0.28366666666666668</v>
      </c>
      <c r="O54" s="44">
        <f>1000*worksheet!$F$42*N54/worksheet!$F$52/worksheet!$F$9</f>
        <v>1.6100277479324465</v>
      </c>
      <c r="P54" s="44">
        <f>worksheet!$F$9*O54/worksheet!$F$29/worksheet!$J$11</f>
        <v>5.9850549450549444</v>
      </c>
      <c r="Q54" s="44" t="str">
        <f t="shared" si="3"/>
        <v>DCM</v>
      </c>
      <c r="R54" s="44">
        <f t="shared" si="4"/>
        <v>61.17647058823529</v>
      </c>
      <c r="S54" s="44">
        <f>N54/worksheet!$F$52</f>
        <v>1.4547008547008546</v>
      </c>
      <c r="T54" s="44">
        <f>0.5*worksheet!$F$62/100*worksheet!$F$29*S54*P54*R54/1000*worksheet!$J$11</f>
        <v>26.564959758672696</v>
      </c>
    </row>
    <row r="55" spans="1:20">
      <c r="A55" s="44">
        <v>2.14</v>
      </c>
      <c r="B55" s="44">
        <f>40+(worksheet!$F$17-40)*(worksheet!$F$11-3)/(worksheet!$F$14-3)</f>
        <v>59.411764705882348</v>
      </c>
      <c r="C55" s="44">
        <f t="shared" ref="C55:C112" si="9">C54+($C$113-$C$53)/60</f>
        <v>0.28733333333333333</v>
      </c>
      <c r="D55" s="44">
        <f>1000*worksheet!$F$42*C55/worksheet!$F$52/worksheet!$F$9</f>
        <v>1.6308389174121845</v>
      </c>
      <c r="E55" s="44">
        <f>worksheet!$F$9*D55/worksheet!$F$29/worksheet!$F$11</f>
        <v>6.4954474097331243</v>
      </c>
      <c r="F55" s="44" t="str">
        <f t="shared" si="0"/>
        <v>DCM</v>
      </c>
      <c r="G55" s="44">
        <f t="shared" si="1"/>
        <v>59.411764705882348</v>
      </c>
      <c r="H55" s="44">
        <f>C55/worksheet!$F$52</f>
        <v>1.4735042735042734</v>
      </c>
      <c r="I55" s="44">
        <f>0.5*worksheet!$F$62/100*worksheet!$F$29*H55*E55*G55/1000*worksheet!$F$11</f>
        <v>26.469918756236215</v>
      </c>
      <c r="J55" s="46">
        <f t="shared" si="2"/>
        <v>59.411764705882348</v>
      </c>
      <c r="L55" s="44">
        <v>2.14</v>
      </c>
      <c r="M55" s="44">
        <f>40+(worksheet!$F$17-40)*(worksheet!$J$11-3)/(worksheet!$F$14-3)</f>
        <v>61.17647058823529</v>
      </c>
      <c r="N55" s="44">
        <f t="shared" ref="N55:N112" si="10">N54+($C$113-$C$53)/60</f>
        <v>0.28733333333333333</v>
      </c>
      <c r="O55" s="44">
        <f>1000*worksheet!$F$42*N55/worksheet!$F$52/worksheet!$F$9</f>
        <v>1.6308389174121845</v>
      </c>
      <c r="P55" s="44">
        <f>worksheet!$F$9*O55/worksheet!$F$29/worksheet!$J$11</f>
        <v>6.0624175824175826</v>
      </c>
      <c r="Q55" s="44" t="str">
        <f t="shared" si="3"/>
        <v>DCM</v>
      </c>
      <c r="R55" s="44">
        <f t="shared" si="4"/>
        <v>61.17647058823529</v>
      </c>
      <c r="S55" s="44">
        <f>N55/worksheet!$F$52</f>
        <v>1.4735042735042734</v>
      </c>
      <c r="T55" s="44">
        <f>0.5*worksheet!$F$62/100*worksheet!$F$29*S55*P55*R55/1000*worksheet!$J$11</f>
        <v>27.256153966817489</v>
      </c>
    </row>
    <row r="56" spans="1:20">
      <c r="A56" s="44">
        <v>2.16</v>
      </c>
      <c r="B56" s="44">
        <f>40+(worksheet!$F$17-40)*(worksheet!$F$11-3)/(worksheet!$F$14-3)</f>
        <v>59.411764705882348</v>
      </c>
      <c r="C56" s="44">
        <f t="shared" si="9"/>
        <v>0.29099999999999998</v>
      </c>
      <c r="D56" s="44">
        <f>1000*worksheet!$F$42*C56/worksheet!$F$52/worksheet!$F$9</f>
        <v>1.6516500868919222</v>
      </c>
      <c r="E56" s="44">
        <f>worksheet!$F$9*D56/worksheet!$F$29/worksheet!$F$11</f>
        <v>6.5783359497645204</v>
      </c>
      <c r="F56" s="44" t="str">
        <f t="shared" si="0"/>
        <v>DCM</v>
      </c>
      <c r="G56" s="44">
        <f t="shared" si="1"/>
        <v>59.411764705882348</v>
      </c>
      <c r="H56" s="44">
        <f>C56/worksheet!$F$52</f>
        <v>1.4923076923076921</v>
      </c>
      <c r="I56" s="44">
        <f>0.5*worksheet!$F$62/100*worksheet!$F$29*H56*E56*G56/1000*worksheet!$F$11</f>
        <v>27.149795586494943</v>
      </c>
      <c r="J56" s="46">
        <f t="shared" si="2"/>
        <v>59.411764705882348</v>
      </c>
      <c r="L56" s="44">
        <v>2.16</v>
      </c>
      <c r="M56" s="44">
        <f>40+(worksheet!$F$17-40)*(worksheet!$J$11-3)/(worksheet!$F$14-3)</f>
        <v>61.17647058823529</v>
      </c>
      <c r="N56" s="44">
        <f t="shared" si="10"/>
        <v>0.29099999999999998</v>
      </c>
      <c r="O56" s="44">
        <f>1000*worksheet!$F$42*N56/worksheet!$F$52/worksheet!$F$9</f>
        <v>1.6516500868919222</v>
      </c>
      <c r="P56" s="44">
        <f>worksheet!$F$9*O56/worksheet!$F$29/worksheet!$J$11</f>
        <v>6.1397802197802189</v>
      </c>
      <c r="Q56" s="44" t="str">
        <f t="shared" si="3"/>
        <v>DCM</v>
      </c>
      <c r="R56" s="44">
        <f t="shared" si="4"/>
        <v>61.17647058823529</v>
      </c>
      <c r="S56" s="44">
        <f>N56/worksheet!$F$52</f>
        <v>1.4923076923076921</v>
      </c>
      <c r="T56" s="44">
        <f>0.5*worksheet!$F$62/100*worksheet!$F$29*S56*P56*R56/1000*worksheet!$J$11</f>
        <v>27.95622515837103</v>
      </c>
    </row>
    <row r="57" spans="1:20">
      <c r="A57" s="44">
        <v>2.1800000000000002</v>
      </c>
      <c r="B57" s="44">
        <f>40+(worksheet!$F$17-40)*(worksheet!$F$11-3)/(worksheet!$F$14-3)</f>
        <v>59.411764705882348</v>
      </c>
      <c r="C57" s="44">
        <f t="shared" si="9"/>
        <v>0.29466666666666663</v>
      </c>
      <c r="D57" s="44">
        <f>1000*worksheet!$F$42*C57/worksheet!$F$52/worksheet!$F$9</f>
        <v>1.6724612563716601</v>
      </c>
      <c r="E57" s="44">
        <f>worksheet!$F$9*D57/worksheet!$F$29/worksheet!$F$11</f>
        <v>6.6612244897959183</v>
      </c>
      <c r="F57" s="44" t="str">
        <f t="shared" si="0"/>
        <v>DCM</v>
      </c>
      <c r="G57" s="44">
        <f t="shared" si="1"/>
        <v>59.411764705882348</v>
      </c>
      <c r="H57" s="44">
        <f>C57/worksheet!$F$52</f>
        <v>1.5111111111111108</v>
      </c>
      <c r="I57" s="44">
        <f>0.5*worksheet!$F$62/100*worksheet!$F$29*H57*E57*G57/1000*worksheet!$F$11</f>
        <v>27.838293333333326</v>
      </c>
      <c r="J57" s="46">
        <f t="shared" si="2"/>
        <v>59.411764705882348</v>
      </c>
      <c r="L57" s="44">
        <v>2.1800000000000002</v>
      </c>
      <c r="M57" s="44">
        <f>40+(worksheet!$F$17-40)*(worksheet!$J$11-3)/(worksheet!$F$14-3)</f>
        <v>61.17647058823529</v>
      </c>
      <c r="N57" s="44">
        <f t="shared" si="10"/>
        <v>0.29466666666666663</v>
      </c>
      <c r="O57" s="44">
        <f>1000*worksheet!$F$42*N57/worksheet!$F$52/worksheet!$F$9</f>
        <v>1.6724612563716601</v>
      </c>
      <c r="P57" s="44">
        <f>worksheet!$F$9*O57/worksheet!$F$29/worksheet!$J$11</f>
        <v>6.2171428571428571</v>
      </c>
      <c r="Q57" s="44" t="str">
        <f t="shared" si="3"/>
        <v>DCM</v>
      </c>
      <c r="R57" s="44">
        <f t="shared" si="4"/>
        <v>61.17647058823529</v>
      </c>
      <c r="S57" s="44">
        <f>N57/worksheet!$F$52</f>
        <v>1.5111111111111108</v>
      </c>
      <c r="T57" s="44">
        <f>0.5*worksheet!$F$62/100*worksheet!$F$29*S57*P57*R57/1000*worksheet!$J$11</f>
        <v>28.665173333333325</v>
      </c>
    </row>
    <row r="58" spans="1:20">
      <c r="A58" s="44">
        <v>2.2000000000000002</v>
      </c>
      <c r="B58" s="44">
        <f>40+(worksheet!$F$17-40)*(worksheet!$F$11-3)/(worksheet!$F$14-3)</f>
        <v>59.411764705882348</v>
      </c>
      <c r="C58" s="44">
        <f t="shared" si="9"/>
        <v>0.29833333333333328</v>
      </c>
      <c r="D58" s="44">
        <f>1000*worksheet!$F$42*C58/worksheet!$F$52/worksheet!$F$9</f>
        <v>1.6932724258513974</v>
      </c>
      <c r="E58" s="44">
        <f>worksheet!$F$9*D58/worksheet!$F$29/worksheet!$F$11</f>
        <v>6.7441130298273126</v>
      </c>
      <c r="F58" s="44" t="str">
        <f t="shared" si="0"/>
        <v>DCM</v>
      </c>
      <c r="G58" s="44">
        <f t="shared" si="1"/>
        <v>59.411764705882348</v>
      </c>
      <c r="H58" s="44">
        <f>C58/worksheet!$F$52</f>
        <v>1.5299145299145296</v>
      </c>
      <c r="I58" s="44">
        <f>0.5*worksheet!$F$62/100*worksheet!$F$29*H58*E58*G58/1000*worksheet!$F$11</f>
        <v>28.535411996751343</v>
      </c>
      <c r="J58" s="46">
        <f t="shared" si="2"/>
        <v>59.411764705882348</v>
      </c>
      <c r="L58" s="44">
        <v>2.2000000000000002</v>
      </c>
      <c r="M58" s="44">
        <f>40+(worksheet!$F$17-40)*(worksheet!$J$11-3)/(worksheet!$F$14-3)</f>
        <v>61.17647058823529</v>
      </c>
      <c r="N58" s="44">
        <f t="shared" si="10"/>
        <v>0.29833333333333328</v>
      </c>
      <c r="O58" s="44">
        <f>1000*worksheet!$F$42*N58/worksheet!$F$52/worksheet!$F$9</f>
        <v>1.6932724258513974</v>
      </c>
      <c r="P58" s="44">
        <f>worksheet!$F$9*O58/worksheet!$F$29/worksheet!$J$11</f>
        <v>6.2945054945054917</v>
      </c>
      <c r="Q58" s="44" t="str">
        <f t="shared" si="3"/>
        <v>DCM</v>
      </c>
      <c r="R58" s="44">
        <f t="shared" si="4"/>
        <v>61.17647058823529</v>
      </c>
      <c r="S58" s="44">
        <f>N58/worksheet!$F$52</f>
        <v>1.5299145299145296</v>
      </c>
      <c r="T58" s="44">
        <f>0.5*worksheet!$F$62/100*worksheet!$F$29*S58*P58*R58/1000*worksheet!$J$11</f>
        <v>29.382998491704349</v>
      </c>
    </row>
    <row r="59" spans="1:20">
      <c r="A59" s="44">
        <v>2.2200000000000002</v>
      </c>
      <c r="B59" s="44">
        <f>40+(worksheet!$F$17-40)*(worksheet!$F$11-3)/(worksheet!$F$14-3)</f>
        <v>59.411764705882348</v>
      </c>
      <c r="C59" s="44">
        <f t="shared" si="9"/>
        <v>0.30199999999999994</v>
      </c>
      <c r="D59" s="44">
        <f>1000*worksheet!$F$42*C59/worksheet!$F$52/worksheet!$F$9</f>
        <v>1.7140835953311353</v>
      </c>
      <c r="E59" s="44">
        <f>worksheet!$F$9*D59/worksheet!$F$29/worksheet!$F$11</f>
        <v>6.8270015698587105</v>
      </c>
      <c r="F59" s="44" t="str">
        <f t="shared" si="0"/>
        <v>DCM</v>
      </c>
      <c r="G59" s="44">
        <f t="shared" si="1"/>
        <v>59.411764705882348</v>
      </c>
      <c r="H59" s="44">
        <f>C59/worksheet!$F$52</f>
        <v>1.5487179487179483</v>
      </c>
      <c r="I59" s="44">
        <f>0.5*worksheet!$F$62/100*worksheet!$F$29*H59*E59*G59/1000*worksheet!$F$11</f>
        <v>29.241151576749019</v>
      </c>
      <c r="J59" s="46">
        <f t="shared" si="2"/>
        <v>59.411764705882348</v>
      </c>
      <c r="L59" s="44">
        <v>2.2200000000000002</v>
      </c>
      <c r="M59" s="44">
        <f>40+(worksheet!$F$17-40)*(worksheet!$J$11-3)/(worksheet!$F$14-3)</f>
        <v>61.17647058823529</v>
      </c>
      <c r="N59" s="44">
        <f t="shared" si="10"/>
        <v>0.30199999999999994</v>
      </c>
      <c r="O59" s="44">
        <f>1000*worksheet!$F$42*N59/worksheet!$F$52/worksheet!$F$9</f>
        <v>1.7140835953311353</v>
      </c>
      <c r="P59" s="44">
        <f>worksheet!$F$9*O59/worksheet!$F$29/worksheet!$J$11</f>
        <v>6.3718681318681298</v>
      </c>
      <c r="Q59" s="44" t="str">
        <f t="shared" si="3"/>
        <v>DCM</v>
      </c>
      <c r="R59" s="44">
        <f t="shared" si="4"/>
        <v>61.17647058823529</v>
      </c>
      <c r="S59" s="44">
        <f>N59/worksheet!$F$52</f>
        <v>1.5487179487179483</v>
      </c>
      <c r="T59" s="44">
        <f>0.5*worksheet!$F$62/100*worksheet!$F$29*S59*P59*R59/1000*worksheet!$J$11</f>
        <v>30.109700633484145</v>
      </c>
    </row>
    <row r="60" spans="1:20">
      <c r="A60" s="44">
        <v>2.2400000000000002</v>
      </c>
      <c r="B60" s="44">
        <f>40+(worksheet!$F$17-40)*(worksheet!$F$11-3)/(worksheet!$F$14-3)</f>
        <v>59.411764705882348</v>
      </c>
      <c r="C60" s="44">
        <f t="shared" si="9"/>
        <v>0.30566666666666659</v>
      </c>
      <c r="D60" s="44">
        <f>1000*worksheet!$F$42*C60/worksheet!$F$52/worksheet!$F$9</f>
        <v>1.7348947648108732</v>
      </c>
      <c r="E60" s="44">
        <f>worksheet!$F$9*D60/worksheet!$F$29/worksheet!$F$11</f>
        <v>6.9098901098901075</v>
      </c>
      <c r="F60" s="44" t="str">
        <f t="shared" si="0"/>
        <v>DCM</v>
      </c>
      <c r="G60" s="44">
        <f t="shared" si="1"/>
        <v>59.411764705882348</v>
      </c>
      <c r="H60" s="44">
        <f>C60/worksheet!$F$52</f>
        <v>1.5675213675213671</v>
      </c>
      <c r="I60" s="44">
        <f>0.5*worksheet!$F$62/100*worksheet!$F$29*H60*E60*G60/1000*worksheet!$F$11</f>
        <v>29.955512073326346</v>
      </c>
      <c r="J60" s="46">
        <f t="shared" si="2"/>
        <v>59.411764705882348</v>
      </c>
      <c r="L60" s="44">
        <v>2.2400000000000002</v>
      </c>
      <c r="M60" s="44">
        <f>40+(worksheet!$F$17-40)*(worksheet!$J$11-3)/(worksheet!$F$14-3)</f>
        <v>61.17647058823529</v>
      </c>
      <c r="N60" s="44">
        <f t="shared" si="10"/>
        <v>0.30566666666666659</v>
      </c>
      <c r="O60" s="44">
        <f>1000*worksheet!$F$42*N60/worksheet!$F$52/worksheet!$F$9</f>
        <v>1.7348947648108732</v>
      </c>
      <c r="P60" s="44">
        <f>worksheet!$F$9*O60/worksheet!$F$29/worksheet!$J$11</f>
        <v>6.4492307692307671</v>
      </c>
      <c r="Q60" s="44" t="str">
        <f t="shared" si="3"/>
        <v>DCM</v>
      </c>
      <c r="R60" s="44">
        <f t="shared" si="4"/>
        <v>61.17647058823529</v>
      </c>
      <c r="S60" s="44">
        <f>N60/worksheet!$F$52</f>
        <v>1.5675213675213671</v>
      </c>
      <c r="T60" s="44">
        <f>0.5*worksheet!$F$62/100*worksheet!$F$29*S60*P60*R60/1000*worksheet!$J$11</f>
        <v>30.845279758672675</v>
      </c>
    </row>
    <row r="61" spans="1:20">
      <c r="A61" s="44">
        <v>2.2599999999999998</v>
      </c>
      <c r="B61" s="44">
        <f>40+(worksheet!$F$17-40)*(worksheet!$F$11-3)/(worksheet!$F$14-3)</f>
        <v>59.411764705882348</v>
      </c>
      <c r="C61" s="44">
        <f t="shared" si="9"/>
        <v>0.30933333333333324</v>
      </c>
      <c r="D61" s="44">
        <f>1000*worksheet!$F$42*C61/worksheet!$F$52/worksheet!$F$9</f>
        <v>1.7557059342906107</v>
      </c>
      <c r="E61" s="44">
        <f>worksheet!$F$9*D61/worksheet!$F$29/worksheet!$F$11</f>
        <v>6.9927786499215046</v>
      </c>
      <c r="F61" s="44" t="str">
        <f t="shared" si="0"/>
        <v>DCM</v>
      </c>
      <c r="G61" s="44">
        <f t="shared" si="1"/>
        <v>59.411764705882348</v>
      </c>
      <c r="H61" s="44">
        <f>C61/worksheet!$F$52</f>
        <v>1.5863247863247858</v>
      </c>
      <c r="I61" s="44">
        <f>0.5*worksheet!$F$62/100*worksheet!$F$29*H61*E61*G61/1000*worksheet!$F$11</f>
        <v>30.678493486483333</v>
      </c>
      <c r="J61" s="46">
        <f t="shared" si="2"/>
        <v>59.411764705882348</v>
      </c>
      <c r="L61" s="44">
        <v>2.2599999999999998</v>
      </c>
      <c r="M61" s="44">
        <f>40+(worksheet!$F$17-40)*(worksheet!$J$11-3)/(worksheet!$F$14-3)</f>
        <v>61.17647058823529</v>
      </c>
      <c r="N61" s="44">
        <f t="shared" si="10"/>
        <v>0.30933333333333324</v>
      </c>
      <c r="O61" s="44">
        <f>1000*worksheet!$F$42*N61/worksheet!$F$52/worksheet!$F$9</f>
        <v>1.7557059342906107</v>
      </c>
      <c r="P61" s="44">
        <f>worksheet!$F$9*O61/worksheet!$F$29/worksheet!$J$11</f>
        <v>6.5265934065934044</v>
      </c>
      <c r="Q61" s="44" t="str">
        <f t="shared" si="3"/>
        <v>DCM</v>
      </c>
      <c r="R61" s="44">
        <f t="shared" si="4"/>
        <v>61.17647058823529</v>
      </c>
      <c r="S61" s="44">
        <f>N61/worksheet!$F$52</f>
        <v>1.5863247863247858</v>
      </c>
      <c r="T61" s="44">
        <f>0.5*worksheet!$F$62/100*worksheet!$F$29*S61*P61*R61/1000*worksheet!$J$11</f>
        <v>31.589735867269965</v>
      </c>
    </row>
    <row r="62" spans="1:20">
      <c r="A62" s="44">
        <v>2.2799999999999998</v>
      </c>
      <c r="B62" s="44">
        <f>40+(worksheet!$F$17-40)*(worksheet!$F$11-3)/(worksheet!$F$14-3)</f>
        <v>59.411764705882348</v>
      </c>
      <c r="C62" s="44">
        <f t="shared" si="9"/>
        <v>0.31299999999999989</v>
      </c>
      <c r="D62" s="44">
        <f>1000*worksheet!$F$42*C62/worksheet!$F$52/worksheet!$F$9</f>
        <v>1.7765171037703487</v>
      </c>
      <c r="E62" s="44">
        <f>worksheet!$F$9*D62/worksheet!$F$29/worksheet!$F$11</f>
        <v>7.0756671899529016</v>
      </c>
      <c r="F62" s="44" t="str">
        <f t="shared" si="0"/>
        <v>DCM</v>
      </c>
      <c r="G62" s="44">
        <f t="shared" si="1"/>
        <v>59.411764705882348</v>
      </c>
      <c r="H62" s="44">
        <f>C62/worksheet!$F$52</f>
        <v>1.6051282051282045</v>
      </c>
      <c r="I62" s="44">
        <f>0.5*worksheet!$F$62/100*worksheet!$F$29*H62*E62*G62/1000*worksheet!$F$11</f>
        <v>31.410095816219943</v>
      </c>
      <c r="J62" s="46">
        <f t="shared" si="2"/>
        <v>59.411764705882348</v>
      </c>
      <c r="L62" s="44">
        <v>2.2799999999999998</v>
      </c>
      <c r="M62" s="44">
        <f>40+(worksheet!$F$17-40)*(worksheet!$J$11-3)/(worksheet!$F$14-3)</f>
        <v>61.17647058823529</v>
      </c>
      <c r="N62" s="44">
        <f t="shared" si="10"/>
        <v>0.31299999999999989</v>
      </c>
      <c r="O62" s="44">
        <f>1000*worksheet!$F$42*N62/worksheet!$F$52/worksheet!$F$9</f>
        <v>1.7765171037703487</v>
      </c>
      <c r="P62" s="44">
        <f>worksheet!$F$9*O62/worksheet!$F$29/worksheet!$J$11</f>
        <v>6.6039560439560416</v>
      </c>
      <c r="Q62" s="44" t="str">
        <f t="shared" si="3"/>
        <v>DCM</v>
      </c>
      <c r="R62" s="44">
        <f t="shared" si="4"/>
        <v>61.17647058823529</v>
      </c>
      <c r="S62" s="44">
        <f>N62/worksheet!$F$52</f>
        <v>1.6051282051282045</v>
      </c>
      <c r="T62" s="44">
        <f>0.5*worksheet!$F$62/100*worksheet!$F$29*S62*P62*R62/1000*worksheet!$J$11</f>
        <v>32.343068959275989</v>
      </c>
    </row>
    <row r="63" spans="1:20">
      <c r="A63" s="44">
        <v>2.2999999999999998</v>
      </c>
      <c r="B63" s="44">
        <f>40+(worksheet!$F$17-40)*(worksheet!$F$11-3)/(worksheet!$F$14-3)</f>
        <v>59.411764705882348</v>
      </c>
      <c r="C63" s="44">
        <f t="shared" si="9"/>
        <v>0.31666666666666654</v>
      </c>
      <c r="D63" s="44">
        <f>1000*worksheet!$F$42*C63/worksheet!$F$52/worksheet!$F$9</f>
        <v>1.7973282732500866</v>
      </c>
      <c r="E63" s="44">
        <f>worksheet!$F$9*D63/worksheet!$F$29/worksheet!$F$11</f>
        <v>7.1585557299842995</v>
      </c>
      <c r="F63" s="44" t="str">
        <f t="shared" si="0"/>
        <v>DCM</v>
      </c>
      <c r="G63" s="44">
        <f t="shared" si="1"/>
        <v>59.411764705882348</v>
      </c>
      <c r="H63" s="44">
        <f>C63/worksheet!$F$52</f>
        <v>1.6239316239316233</v>
      </c>
      <c r="I63" s="44">
        <f>0.5*worksheet!$F$62/100*worksheet!$F$29*H63*E63*G63/1000*worksheet!$F$11</f>
        <v>32.150319062536234</v>
      </c>
      <c r="J63" s="46">
        <f t="shared" si="2"/>
        <v>59.411764705882348</v>
      </c>
      <c r="L63" s="44">
        <v>2.2999999999999998</v>
      </c>
      <c r="M63" s="44">
        <f>40+(worksheet!$F$17-40)*(worksheet!$J$11-3)/(worksheet!$F$14-3)</f>
        <v>61.17647058823529</v>
      </c>
      <c r="N63" s="44">
        <f t="shared" si="10"/>
        <v>0.31666666666666654</v>
      </c>
      <c r="O63" s="44">
        <f>1000*worksheet!$F$42*N63/worksheet!$F$52/worksheet!$F$9</f>
        <v>1.7973282732500866</v>
      </c>
      <c r="P63" s="44">
        <f>worksheet!$F$9*O63/worksheet!$F$29/worksheet!$J$11</f>
        <v>6.6813186813186798</v>
      </c>
      <c r="Q63" s="44" t="str">
        <f t="shared" si="3"/>
        <v>DCM</v>
      </c>
      <c r="R63" s="44">
        <f t="shared" si="4"/>
        <v>61.17647058823529</v>
      </c>
      <c r="S63" s="44">
        <f>N63/worksheet!$F$52</f>
        <v>1.6239316239316233</v>
      </c>
      <c r="T63" s="44">
        <f>0.5*worksheet!$F$62/100*worksheet!$F$29*S63*P63*R63/1000*worksheet!$J$11</f>
        <v>33.105279034690774</v>
      </c>
    </row>
    <row r="64" spans="1:20">
      <c r="A64" s="44">
        <v>2.3199999999999998</v>
      </c>
      <c r="B64" s="44">
        <f>40+(worksheet!$F$17-40)*(worksheet!$F$11-3)/(worksheet!$F$14-3)</f>
        <v>59.411764705882348</v>
      </c>
      <c r="C64" s="44">
        <f t="shared" si="9"/>
        <v>0.32033333333333319</v>
      </c>
      <c r="D64" s="44">
        <f>1000*worksheet!$F$42*C64/worksheet!$F$52/worksheet!$F$9</f>
        <v>1.8181394427298241</v>
      </c>
      <c r="E64" s="44">
        <f>worksheet!$F$9*D64/worksheet!$F$29/worksheet!$F$11</f>
        <v>7.2414442700156938</v>
      </c>
      <c r="F64" s="44" t="str">
        <f t="shared" si="0"/>
        <v>DCM</v>
      </c>
      <c r="G64" s="44">
        <f t="shared" si="1"/>
        <v>59.411764705882348</v>
      </c>
      <c r="H64" s="44">
        <f>C64/worksheet!$F$52</f>
        <v>1.642735042735042</v>
      </c>
      <c r="I64" s="44">
        <f>0.5*worksheet!$F$62/100*worksheet!$F$29*H64*E64*G64/1000*worksheet!$F$11</f>
        <v>32.89916322543214</v>
      </c>
      <c r="J64" s="46">
        <f t="shared" si="2"/>
        <v>59.411764705882348</v>
      </c>
      <c r="L64" s="44">
        <v>2.3199999999999998</v>
      </c>
      <c r="M64" s="44">
        <f>40+(worksheet!$F$17-40)*(worksheet!$J$11-3)/(worksheet!$F$14-3)</f>
        <v>61.17647058823529</v>
      </c>
      <c r="N64" s="44">
        <f t="shared" si="10"/>
        <v>0.32033333333333319</v>
      </c>
      <c r="O64" s="44">
        <f>1000*worksheet!$F$42*N64/worksheet!$F$52/worksheet!$F$9</f>
        <v>1.8181394427298241</v>
      </c>
      <c r="P64" s="44">
        <f>worksheet!$F$9*O64/worksheet!$F$29/worksheet!$J$11</f>
        <v>6.7586813186813144</v>
      </c>
      <c r="Q64" s="44" t="str">
        <f t="shared" si="3"/>
        <v>DCM</v>
      </c>
      <c r="R64" s="44">
        <f t="shared" si="4"/>
        <v>61.17647058823529</v>
      </c>
      <c r="S64" s="44">
        <f>N64/worksheet!$F$52</f>
        <v>1.642735042735042</v>
      </c>
      <c r="T64" s="44">
        <f>0.5*worksheet!$F$62/100*worksheet!$F$29*S64*P64*R64/1000*worksheet!$J$11</f>
        <v>33.876366093514292</v>
      </c>
    </row>
    <row r="65" spans="1:20">
      <c r="A65" s="44">
        <v>2.34</v>
      </c>
      <c r="B65" s="44">
        <f>40+(worksheet!$F$17-40)*(worksheet!$F$11-3)/(worksheet!$F$14-3)</f>
        <v>59.411764705882348</v>
      </c>
      <c r="C65" s="44">
        <f t="shared" si="9"/>
        <v>0.32399999999999984</v>
      </c>
      <c r="D65" s="44">
        <f>1000*worksheet!$F$42*C65/worksheet!$F$52/worksheet!$F$9</f>
        <v>1.838950612209562</v>
      </c>
      <c r="E65" s="44">
        <f>worksheet!$F$9*D65/worksheet!$F$29/worksheet!$F$11</f>
        <v>7.3243328100470917</v>
      </c>
      <c r="F65" s="44" t="str">
        <f t="shared" si="0"/>
        <v>DCM</v>
      </c>
      <c r="G65" s="44">
        <f t="shared" si="1"/>
        <v>59.411764705882348</v>
      </c>
      <c r="H65" s="44">
        <f>C65/worksheet!$F$52</f>
        <v>1.6615384615384607</v>
      </c>
      <c r="I65" s="44">
        <f>0.5*worksheet!$F$62/100*worksheet!$F$29*H65*E65*G65/1000*worksheet!$F$11</f>
        <v>33.65662830490772</v>
      </c>
      <c r="J65" s="46">
        <f t="shared" si="2"/>
        <v>59.411764705882348</v>
      </c>
      <c r="L65" s="44">
        <v>2.34</v>
      </c>
      <c r="M65" s="44">
        <f>40+(worksheet!$F$17-40)*(worksheet!$J$11-3)/(worksheet!$F$14-3)</f>
        <v>61.17647058823529</v>
      </c>
      <c r="N65" s="44">
        <f t="shared" si="10"/>
        <v>0.32399999999999984</v>
      </c>
      <c r="O65" s="44">
        <f>1000*worksheet!$F$42*N65/worksheet!$F$52/worksheet!$F$9</f>
        <v>1.838950612209562</v>
      </c>
      <c r="P65" s="44">
        <f>worksheet!$F$9*O65/worksheet!$F$29/worksheet!$J$11</f>
        <v>6.8360439560439525</v>
      </c>
      <c r="Q65" s="44" t="str">
        <f t="shared" si="3"/>
        <v>DCM</v>
      </c>
      <c r="R65" s="44">
        <f t="shared" si="4"/>
        <v>61.17647058823529</v>
      </c>
      <c r="S65" s="44">
        <f>N65/worksheet!$F$52</f>
        <v>1.6615384615384607</v>
      </c>
      <c r="T65" s="44">
        <f>0.5*worksheet!$F$62/100*worksheet!$F$29*S65*P65*R65/1000*worksheet!$J$11</f>
        <v>34.656330135746558</v>
      </c>
    </row>
    <row r="66" spans="1:20">
      <c r="A66" s="44">
        <v>2.36</v>
      </c>
      <c r="B66" s="44">
        <f>40+(worksheet!$F$17-40)*(worksheet!$F$11-3)/(worksheet!$F$14-3)</f>
        <v>59.411764705882348</v>
      </c>
      <c r="C66" s="44">
        <f t="shared" si="9"/>
        <v>0.3276666666666665</v>
      </c>
      <c r="D66" s="44">
        <f>1000*worksheet!$F$42*C66/worksheet!$F$52/worksheet!$F$9</f>
        <v>1.8597617816893</v>
      </c>
      <c r="E66" s="44">
        <f>worksheet!$F$9*D66/worksheet!$F$29/worksheet!$F$11</f>
        <v>7.4072213500784887</v>
      </c>
      <c r="F66" s="44" t="str">
        <f t="shared" si="0"/>
        <v>DCM</v>
      </c>
      <c r="G66" s="44">
        <f t="shared" si="1"/>
        <v>59.411764705882348</v>
      </c>
      <c r="H66" s="44">
        <f>C66/worksheet!$F$52</f>
        <v>1.6803418803418795</v>
      </c>
      <c r="I66" s="44">
        <f>0.5*worksheet!$F$62/100*worksheet!$F$29*H66*E66*G66/1000*worksheet!$F$11</f>
        <v>34.422714300962944</v>
      </c>
      <c r="J66" s="46">
        <f t="shared" si="2"/>
        <v>59.411764705882348</v>
      </c>
      <c r="L66" s="44">
        <v>2.36</v>
      </c>
      <c r="M66" s="44">
        <f>40+(worksheet!$F$17-40)*(worksheet!$J$11-3)/(worksheet!$F$14-3)</f>
        <v>61.17647058823529</v>
      </c>
      <c r="N66" s="44">
        <f t="shared" si="10"/>
        <v>0.3276666666666665</v>
      </c>
      <c r="O66" s="44">
        <f>1000*worksheet!$F$42*N66/worksheet!$F$52/worksheet!$F$9</f>
        <v>1.8597617816893</v>
      </c>
      <c r="P66" s="44">
        <f>worksheet!$F$9*O66/worksheet!$F$29/worksheet!$J$11</f>
        <v>6.9134065934065898</v>
      </c>
      <c r="Q66" s="44" t="str">
        <f t="shared" si="3"/>
        <v>DCM</v>
      </c>
      <c r="R66" s="44">
        <f t="shared" si="4"/>
        <v>61.17647058823529</v>
      </c>
      <c r="S66" s="44">
        <f>N66/worksheet!$F$52</f>
        <v>1.6803418803418795</v>
      </c>
      <c r="T66" s="44">
        <f>0.5*worksheet!$F$62/100*worksheet!$F$29*S66*P66*R66/1000*worksheet!$J$11</f>
        <v>35.445171161387591</v>
      </c>
    </row>
    <row r="67" spans="1:20">
      <c r="A67" s="44">
        <v>2.38</v>
      </c>
      <c r="B67" s="44">
        <f>40+(worksheet!$F$17-40)*(worksheet!$F$11-3)/(worksheet!$F$14-3)</f>
        <v>59.411764705882348</v>
      </c>
      <c r="C67" s="44">
        <f t="shared" si="9"/>
        <v>0.33133333333333315</v>
      </c>
      <c r="D67" s="44">
        <f>1000*worksheet!$F$42*C67/worksheet!$F$52/worksheet!$F$9</f>
        <v>1.8805729511690374</v>
      </c>
      <c r="E67" s="44">
        <f>worksheet!$F$9*D67/worksheet!$F$29/worksheet!$F$11</f>
        <v>7.4901098901098857</v>
      </c>
      <c r="F67" s="44" t="str">
        <f t="shared" si="0"/>
        <v>DCM</v>
      </c>
      <c r="G67" s="44">
        <f t="shared" si="1"/>
        <v>59.411764705882348</v>
      </c>
      <c r="H67" s="44">
        <f>C67/worksheet!$F$52</f>
        <v>1.6991452991452982</v>
      </c>
      <c r="I67" s="44">
        <f>0.5*worksheet!$F$62/100*worksheet!$F$29*H67*E67*G67/1000*worksheet!$F$11</f>
        <v>35.197421213597821</v>
      </c>
      <c r="J67" s="46">
        <f t="shared" si="2"/>
        <v>59.411764705882348</v>
      </c>
      <c r="L67" s="44">
        <v>2.38</v>
      </c>
      <c r="M67" s="44">
        <f>40+(worksheet!$F$17-40)*(worksheet!$J$11-3)/(worksheet!$F$14-3)</f>
        <v>61.17647058823529</v>
      </c>
      <c r="N67" s="44">
        <f t="shared" si="10"/>
        <v>0.33133333333333315</v>
      </c>
      <c r="O67" s="44">
        <f>1000*worksheet!$F$42*N67/worksheet!$F$52/worksheet!$F$9</f>
        <v>1.8805729511690374</v>
      </c>
      <c r="P67" s="44">
        <f>worksheet!$F$9*O67/worksheet!$F$29/worksheet!$J$11</f>
        <v>6.9907692307692271</v>
      </c>
      <c r="Q67" s="44" t="str">
        <f t="shared" si="3"/>
        <v>DCM</v>
      </c>
      <c r="R67" s="44">
        <f t="shared" si="4"/>
        <v>61.17647058823529</v>
      </c>
      <c r="S67" s="44">
        <f>N67/worksheet!$F$52</f>
        <v>1.6991452991452982</v>
      </c>
      <c r="T67" s="44">
        <f>0.5*worksheet!$F$62/100*worksheet!$F$29*S67*P67*R67/1000*worksheet!$J$11</f>
        <v>36.242889170437358</v>
      </c>
    </row>
    <row r="68" spans="1:20">
      <c r="A68" s="44">
        <v>2.4</v>
      </c>
      <c r="B68" s="44">
        <f>40+(worksheet!$F$17-40)*(worksheet!$F$11-3)/(worksheet!$F$14-3)</f>
        <v>59.411764705882348</v>
      </c>
      <c r="C68" s="44">
        <f t="shared" si="9"/>
        <v>0.3349999999999998</v>
      </c>
      <c r="D68" s="44">
        <f>1000*worksheet!$F$42*C68/worksheet!$F$52/worksheet!$F$9</f>
        <v>1.9013841206487754</v>
      </c>
      <c r="E68" s="44">
        <f>worksheet!$F$9*D68/worksheet!$F$29/worksheet!$F$11</f>
        <v>7.5729984301412827</v>
      </c>
      <c r="F68" s="44" t="str">
        <f t="shared" ref="F68:F113" si="11">IF((D68+E68)&lt;(1000/B68),"DCM","CDCM")</f>
        <v>DCM</v>
      </c>
      <c r="G68" s="44">
        <f t="shared" ref="G68:G113" si="12">IF(F68="DCM",B68,1000/(D68+E68))</f>
        <v>59.411764705882348</v>
      </c>
      <c r="H68" s="44">
        <f>C68/worksheet!$F$52</f>
        <v>1.717948717948717</v>
      </c>
      <c r="I68" s="44">
        <f>0.5*worksheet!$F$62/100*worksheet!$F$29*H68*E68*G68/1000*worksheet!$F$11</f>
        <v>35.980749042812342</v>
      </c>
      <c r="J68" s="46">
        <f t="shared" ref="J68:J113" si="13">G68</f>
        <v>59.411764705882348</v>
      </c>
      <c r="L68" s="44">
        <v>2.4</v>
      </c>
      <c r="M68" s="44">
        <f>40+(worksheet!$F$17-40)*(worksheet!$J$11-3)/(worksheet!$F$14-3)</f>
        <v>61.17647058823529</v>
      </c>
      <c r="N68" s="44">
        <f t="shared" si="10"/>
        <v>0.3349999999999998</v>
      </c>
      <c r="O68" s="44">
        <f>1000*worksheet!$F$42*N68/worksheet!$F$52/worksheet!$F$9</f>
        <v>1.9013841206487754</v>
      </c>
      <c r="P68" s="44">
        <f>worksheet!$F$9*O68/worksheet!$F$29/worksheet!$J$11</f>
        <v>7.0681318681318634</v>
      </c>
      <c r="Q68" s="44" t="str">
        <f t="shared" ref="Q68:Q113" si="14">IF((O68+P68)&lt;(1000/M68),"DCM","CDCM")</f>
        <v>DCM</v>
      </c>
      <c r="R68" s="44">
        <f t="shared" ref="R68:R113" si="15">IF(Q68="DCM",M68,1000/(O68+P68))</f>
        <v>61.17647058823529</v>
      </c>
      <c r="S68" s="44">
        <f>N68/worksheet!$F$52</f>
        <v>1.717948717948717</v>
      </c>
      <c r="T68" s="44">
        <f>0.5*worksheet!$F$62/100*worksheet!$F$29*S68*P68*R68/1000*worksheet!$J$11</f>
        <v>37.04948416289588</v>
      </c>
    </row>
    <row r="69" spans="1:20">
      <c r="A69" s="44">
        <v>2.42</v>
      </c>
      <c r="B69" s="44">
        <f>40+(worksheet!$F$17-40)*(worksheet!$F$11-3)/(worksheet!$F$14-3)</f>
        <v>59.411764705882348</v>
      </c>
      <c r="C69" s="44">
        <f t="shared" si="9"/>
        <v>0.33866666666666645</v>
      </c>
      <c r="D69" s="44">
        <f>1000*worksheet!$F$42*C69/worksheet!$F$52/worksheet!$F$9</f>
        <v>1.9221952901285131</v>
      </c>
      <c r="E69" s="44">
        <f>worksheet!$F$9*D69/worksheet!$F$29/worksheet!$F$11</f>
        <v>7.6558869701726797</v>
      </c>
      <c r="F69" s="44" t="str">
        <f t="shared" si="11"/>
        <v>DCM</v>
      </c>
      <c r="G69" s="44">
        <f t="shared" si="12"/>
        <v>59.411764705882348</v>
      </c>
      <c r="H69" s="44">
        <f>C69/worksheet!$F$52</f>
        <v>1.7367521367521357</v>
      </c>
      <c r="I69" s="44">
        <f>0.5*worksheet!$F$62/100*worksheet!$F$29*H69*E69*G69/1000*worksheet!$F$11</f>
        <v>36.772697788606514</v>
      </c>
      <c r="J69" s="46">
        <f t="shared" si="13"/>
        <v>59.411764705882348</v>
      </c>
      <c r="L69" s="44">
        <v>2.42</v>
      </c>
      <c r="M69" s="44">
        <f>40+(worksheet!$F$17-40)*(worksheet!$J$11-3)/(worksheet!$F$14-3)</f>
        <v>61.17647058823529</v>
      </c>
      <c r="N69" s="44">
        <f t="shared" si="10"/>
        <v>0.33866666666666645</v>
      </c>
      <c r="O69" s="44">
        <f>1000*worksheet!$F$42*N69/worksheet!$F$52/worksheet!$F$9</f>
        <v>1.9221952901285131</v>
      </c>
      <c r="P69" s="44">
        <f>worksheet!$F$9*O69/worksheet!$F$29/worksheet!$J$11</f>
        <v>7.1454945054945007</v>
      </c>
      <c r="Q69" s="44" t="str">
        <f t="shared" si="14"/>
        <v>DCM</v>
      </c>
      <c r="R69" s="44">
        <f t="shared" si="15"/>
        <v>61.17647058823529</v>
      </c>
      <c r="S69" s="44">
        <f>N69/worksheet!$F$52</f>
        <v>1.7367521367521357</v>
      </c>
      <c r="T69" s="44">
        <f>0.5*worksheet!$F$62/100*worksheet!$F$29*S69*P69*R69/1000*worksheet!$J$11</f>
        <v>37.864956138763141</v>
      </c>
    </row>
    <row r="70" spans="1:20">
      <c r="A70" s="44">
        <v>2.44</v>
      </c>
      <c r="B70" s="44">
        <f>40+(worksheet!$F$17-40)*(worksheet!$F$11-3)/(worksheet!$F$14-3)</f>
        <v>59.411764705882348</v>
      </c>
      <c r="C70" s="44">
        <f t="shared" si="9"/>
        <v>0.3423333333333331</v>
      </c>
      <c r="D70" s="44">
        <f>1000*worksheet!$F$42*C70/worksheet!$F$52/worksheet!$F$9</f>
        <v>1.9430064596082506</v>
      </c>
      <c r="E70" s="44">
        <f>worksheet!$F$9*D70/worksheet!$F$29/worksheet!$F$11</f>
        <v>7.7387755102040758</v>
      </c>
      <c r="F70" s="44" t="str">
        <f t="shared" si="11"/>
        <v>DCM</v>
      </c>
      <c r="G70" s="44">
        <f t="shared" si="12"/>
        <v>59.411764705882348</v>
      </c>
      <c r="H70" s="44">
        <f>C70/worksheet!$F$52</f>
        <v>1.7555555555555542</v>
      </c>
      <c r="I70" s="44">
        <f>0.5*worksheet!$F$62/100*worksheet!$F$29*H70*E70*G70/1000*worksheet!$F$11</f>
        <v>37.573267450980325</v>
      </c>
      <c r="J70" s="46">
        <f t="shared" si="13"/>
        <v>59.411764705882348</v>
      </c>
      <c r="L70" s="44">
        <v>2.44</v>
      </c>
      <c r="M70" s="44">
        <f>40+(worksheet!$F$17-40)*(worksheet!$J$11-3)/(worksheet!$F$14-3)</f>
        <v>61.17647058823529</v>
      </c>
      <c r="N70" s="44">
        <f t="shared" si="10"/>
        <v>0.3423333333333331</v>
      </c>
      <c r="O70" s="44">
        <f>1000*worksheet!$F$42*N70/worksheet!$F$52/worksheet!$F$9</f>
        <v>1.9430064596082506</v>
      </c>
      <c r="P70" s="44">
        <f>worksheet!$F$9*O70/worksheet!$F$29/worksheet!$J$11</f>
        <v>7.2228571428571371</v>
      </c>
      <c r="Q70" s="44" t="str">
        <f t="shared" si="14"/>
        <v>DCM</v>
      </c>
      <c r="R70" s="44">
        <f t="shared" si="15"/>
        <v>61.17647058823529</v>
      </c>
      <c r="S70" s="44">
        <f>N70/worksheet!$F$52</f>
        <v>1.7555555555555542</v>
      </c>
      <c r="T70" s="44">
        <f>0.5*worksheet!$F$62/100*worksheet!$F$29*S70*P70*R70/1000*worksheet!$J$11</f>
        <v>38.689305098039142</v>
      </c>
    </row>
    <row r="71" spans="1:20">
      <c r="A71" s="44">
        <v>2.46</v>
      </c>
      <c r="B71" s="44">
        <f>40+(worksheet!$F$17-40)*(worksheet!$F$11-3)/(worksheet!$F$14-3)</f>
        <v>59.411764705882348</v>
      </c>
      <c r="C71" s="44">
        <f t="shared" si="9"/>
        <v>0.34599999999999975</v>
      </c>
      <c r="D71" s="44">
        <f>1000*worksheet!$F$42*C71/worksheet!$F$52/worksheet!$F$9</f>
        <v>1.9638176290879885</v>
      </c>
      <c r="E71" s="44">
        <f>worksheet!$F$9*D71/worksheet!$F$29/worksheet!$F$11</f>
        <v>7.8216640502354737</v>
      </c>
      <c r="F71" s="44" t="str">
        <f t="shared" si="11"/>
        <v>DCM</v>
      </c>
      <c r="G71" s="44">
        <f t="shared" si="12"/>
        <v>59.411764705882348</v>
      </c>
      <c r="H71" s="44">
        <f>C71/worksheet!$F$52</f>
        <v>1.7743589743589729</v>
      </c>
      <c r="I71" s="44">
        <f>0.5*worksheet!$F$62/100*worksheet!$F$29*H71*E71*G71/1000*worksheet!$F$11</f>
        <v>38.382458029933808</v>
      </c>
      <c r="J71" s="46">
        <f t="shared" si="13"/>
        <v>59.411764705882348</v>
      </c>
      <c r="L71" s="44">
        <v>2.46</v>
      </c>
      <c r="M71" s="44">
        <f>40+(worksheet!$F$17-40)*(worksheet!$J$11-3)/(worksheet!$F$14-3)</f>
        <v>61.17647058823529</v>
      </c>
      <c r="N71" s="44">
        <f t="shared" si="10"/>
        <v>0.34599999999999975</v>
      </c>
      <c r="O71" s="44">
        <f>1000*worksheet!$F$42*N71/worksheet!$F$52/worksheet!$F$9</f>
        <v>1.9638176290879885</v>
      </c>
      <c r="P71" s="44">
        <f>worksheet!$F$9*O71/worksheet!$F$29/worksheet!$J$11</f>
        <v>7.3002197802197752</v>
      </c>
      <c r="Q71" s="44" t="str">
        <f t="shared" si="14"/>
        <v>DCM</v>
      </c>
      <c r="R71" s="44">
        <f t="shared" si="15"/>
        <v>61.17647058823529</v>
      </c>
      <c r="S71" s="44">
        <f>N71/worksheet!$F$52</f>
        <v>1.7743589743589729</v>
      </c>
      <c r="T71" s="44">
        <f>0.5*worksheet!$F$62/100*worksheet!$F$29*S71*P71*R71/1000*worksheet!$J$11</f>
        <v>39.522531040723912</v>
      </c>
    </row>
    <row r="72" spans="1:20">
      <c r="A72" s="44">
        <v>2.48</v>
      </c>
      <c r="B72" s="44">
        <f>40+(worksheet!$F$17-40)*(worksheet!$F$11-3)/(worksheet!$F$14-3)</f>
        <v>59.411764705882348</v>
      </c>
      <c r="C72" s="44">
        <f t="shared" si="9"/>
        <v>0.3496666666666664</v>
      </c>
      <c r="D72" s="44">
        <f>1000*worksheet!$F$42*C72/worksheet!$F$52/worksheet!$F$9</f>
        <v>1.9846287985677264</v>
      </c>
      <c r="E72" s="44">
        <f>worksheet!$F$9*D72/worksheet!$F$29/worksheet!$F$11</f>
        <v>7.9045525902668698</v>
      </c>
      <c r="F72" s="44" t="str">
        <f t="shared" si="11"/>
        <v>DCM</v>
      </c>
      <c r="G72" s="44">
        <f t="shared" si="12"/>
        <v>59.411764705882348</v>
      </c>
      <c r="H72" s="44">
        <f>C72/worksheet!$F$52</f>
        <v>1.7931623931623917</v>
      </c>
      <c r="I72" s="44">
        <f>0.5*worksheet!$F$62/100*worksheet!$F$29*H72*E72*G72/1000*worksheet!$F$11</f>
        <v>39.200269525466915</v>
      </c>
      <c r="J72" s="46">
        <f t="shared" si="13"/>
        <v>59.411764705882348</v>
      </c>
      <c r="L72" s="44">
        <v>2.48</v>
      </c>
      <c r="M72" s="44">
        <f>40+(worksheet!$F$17-40)*(worksheet!$J$11-3)/(worksheet!$F$14-3)</f>
        <v>61.17647058823529</v>
      </c>
      <c r="N72" s="44">
        <f t="shared" si="10"/>
        <v>0.3496666666666664</v>
      </c>
      <c r="O72" s="44">
        <f>1000*worksheet!$F$42*N72/worksheet!$F$52/worksheet!$F$9</f>
        <v>1.9846287985677264</v>
      </c>
      <c r="P72" s="44">
        <f>worksheet!$F$9*O72/worksheet!$F$29/worksheet!$J$11</f>
        <v>7.3775824175824125</v>
      </c>
      <c r="Q72" s="44" t="str">
        <f t="shared" si="14"/>
        <v>DCM</v>
      </c>
      <c r="R72" s="44">
        <f t="shared" si="15"/>
        <v>61.17647058823529</v>
      </c>
      <c r="S72" s="44">
        <f>N72/worksheet!$F$52</f>
        <v>1.7931623931623917</v>
      </c>
      <c r="T72" s="44">
        <f>0.5*worksheet!$F$62/100*worksheet!$F$29*S72*P72*R72/1000*worksheet!$J$11</f>
        <v>40.364633966817429</v>
      </c>
    </row>
    <row r="73" spans="1:20">
      <c r="A73" s="44">
        <v>2.5</v>
      </c>
      <c r="B73" s="44">
        <f>40+(worksheet!$F$17-40)*(worksheet!$F$11-3)/(worksheet!$F$14-3)</f>
        <v>59.411764705882348</v>
      </c>
      <c r="C73" s="44">
        <f t="shared" si="9"/>
        <v>0.35333333333333306</v>
      </c>
      <c r="D73" s="44">
        <f>1000*worksheet!$F$42*C73/worksheet!$F$52/worksheet!$F$9</f>
        <v>2.0054399680474639</v>
      </c>
      <c r="E73" s="44">
        <f>worksheet!$F$9*D73/worksheet!$F$29/worksheet!$F$11</f>
        <v>7.987441130298266</v>
      </c>
      <c r="F73" s="44" t="str">
        <f t="shared" si="11"/>
        <v>DCM</v>
      </c>
      <c r="G73" s="44">
        <f t="shared" si="12"/>
        <v>59.411764705882348</v>
      </c>
      <c r="H73" s="44">
        <f>C73/worksheet!$F$52</f>
        <v>1.8119658119658104</v>
      </c>
      <c r="I73" s="44">
        <f>0.5*worksheet!$F$62/100*worksheet!$F$29*H73*E73*G73/1000*worksheet!$F$11</f>
        <v>40.026701937579688</v>
      </c>
      <c r="J73" s="46">
        <f t="shared" si="13"/>
        <v>59.411764705882348</v>
      </c>
      <c r="L73" s="44">
        <v>2.5</v>
      </c>
      <c r="M73" s="44">
        <f>40+(worksheet!$F$17-40)*(worksheet!$J$11-3)/(worksheet!$F$14-3)</f>
        <v>61.17647058823529</v>
      </c>
      <c r="N73" s="44">
        <f t="shared" si="10"/>
        <v>0.35333333333333306</v>
      </c>
      <c r="O73" s="44">
        <f>1000*worksheet!$F$42*N73/worksheet!$F$52/worksheet!$F$9</f>
        <v>2.0054399680474639</v>
      </c>
      <c r="P73" s="44">
        <f>worksheet!$F$9*O73/worksheet!$F$29/worksheet!$J$11</f>
        <v>7.454945054945048</v>
      </c>
      <c r="Q73" s="44" t="str">
        <f t="shared" si="14"/>
        <v>DCM</v>
      </c>
      <c r="R73" s="44">
        <f t="shared" si="15"/>
        <v>61.17647058823529</v>
      </c>
      <c r="S73" s="44">
        <f>N73/worksheet!$F$52</f>
        <v>1.8119658119658104</v>
      </c>
      <c r="T73" s="44">
        <f>0.5*worksheet!$F$62/100*worksheet!$F$29*S73*P73*R73/1000*worksheet!$J$11</f>
        <v>41.215613876319679</v>
      </c>
    </row>
    <row r="74" spans="1:20">
      <c r="A74" s="44">
        <v>2.52</v>
      </c>
      <c r="B74" s="44">
        <f>40+(worksheet!$F$17-40)*(worksheet!$F$11-3)/(worksheet!$F$14-3)</f>
        <v>59.411764705882348</v>
      </c>
      <c r="C74" s="44">
        <f t="shared" si="9"/>
        <v>0.35699999999999971</v>
      </c>
      <c r="D74" s="44">
        <f>1000*worksheet!$F$42*C74/worksheet!$F$52/worksheet!$F$9</f>
        <v>2.0262511375272019</v>
      </c>
      <c r="E74" s="44">
        <f>worksheet!$F$9*D74/worksheet!$F$29/worksheet!$F$11</f>
        <v>8.070329670329663</v>
      </c>
      <c r="F74" s="44" t="str">
        <f t="shared" si="11"/>
        <v>DCM</v>
      </c>
      <c r="G74" s="44">
        <f t="shared" si="12"/>
        <v>59.411764705882348</v>
      </c>
      <c r="H74" s="44">
        <f>C74/worksheet!$F$52</f>
        <v>1.8307692307692292</v>
      </c>
      <c r="I74" s="44">
        <f>0.5*worksheet!$F$62/100*worksheet!$F$29*H74*E74*G74/1000*worksheet!$F$11</f>
        <v>40.861755266272112</v>
      </c>
      <c r="J74" s="46">
        <f t="shared" si="13"/>
        <v>59.411764705882348</v>
      </c>
      <c r="L74" s="44">
        <v>2.52</v>
      </c>
      <c r="M74" s="44">
        <f>40+(worksheet!$F$17-40)*(worksheet!$J$11-3)/(worksheet!$F$14-3)</f>
        <v>61.17647058823529</v>
      </c>
      <c r="N74" s="44">
        <f t="shared" si="10"/>
        <v>0.35699999999999971</v>
      </c>
      <c r="O74" s="44">
        <f>1000*worksheet!$F$42*N74/worksheet!$F$52/worksheet!$F$9</f>
        <v>2.0262511375272019</v>
      </c>
      <c r="P74" s="44">
        <f>worksheet!$F$9*O74/worksheet!$F$29/worksheet!$J$11</f>
        <v>7.5323076923076853</v>
      </c>
      <c r="Q74" s="44" t="str">
        <f t="shared" si="14"/>
        <v>DCM</v>
      </c>
      <c r="R74" s="44">
        <f t="shared" si="15"/>
        <v>61.17647058823529</v>
      </c>
      <c r="S74" s="44">
        <f>N74/worksheet!$F$52</f>
        <v>1.8307692307692292</v>
      </c>
      <c r="T74" s="44">
        <f>0.5*worksheet!$F$62/100*worksheet!$F$29*S74*P74*R74/1000*worksheet!$J$11</f>
        <v>42.075470769230691</v>
      </c>
    </row>
    <row r="75" spans="1:20">
      <c r="A75" s="44">
        <v>2.54</v>
      </c>
      <c r="B75" s="44">
        <f>40+(worksheet!$F$17-40)*(worksheet!$F$11-3)/(worksheet!$F$14-3)</f>
        <v>59.411764705882348</v>
      </c>
      <c r="C75" s="44">
        <f t="shared" si="9"/>
        <v>0.36066666666666636</v>
      </c>
      <c r="D75" s="44">
        <f>1000*worksheet!$F$42*C75/worksheet!$F$52/worksheet!$F$9</f>
        <v>2.0470623070069398</v>
      </c>
      <c r="E75" s="44">
        <f>worksheet!$F$9*D75/worksheet!$F$29/worksheet!$F$11</f>
        <v>8.1532182103610609</v>
      </c>
      <c r="F75" s="44" t="str">
        <f t="shared" si="11"/>
        <v>DCM</v>
      </c>
      <c r="G75" s="44">
        <f t="shared" si="12"/>
        <v>59.411764705882348</v>
      </c>
      <c r="H75" s="44">
        <f>C75/worksheet!$F$52</f>
        <v>1.8495726495726479</v>
      </c>
      <c r="I75" s="44">
        <f>0.5*worksheet!$F$62/100*worksheet!$F$29*H75*E75*G75/1000*worksheet!$F$11</f>
        <v>41.705429511544189</v>
      </c>
      <c r="J75" s="46">
        <f t="shared" si="13"/>
        <v>59.411764705882348</v>
      </c>
      <c r="L75" s="44">
        <v>2.54</v>
      </c>
      <c r="M75" s="44">
        <f>40+(worksheet!$F$17-40)*(worksheet!$J$11-3)/(worksheet!$F$14-3)</f>
        <v>61.17647058823529</v>
      </c>
      <c r="N75" s="44">
        <f t="shared" si="10"/>
        <v>0.36066666666666636</v>
      </c>
      <c r="O75" s="44">
        <f>1000*worksheet!$F$42*N75/worksheet!$F$52/worksheet!$F$9</f>
        <v>2.0470623070069398</v>
      </c>
      <c r="P75" s="44">
        <f>worksheet!$F$9*O75/worksheet!$F$29/worksheet!$J$11</f>
        <v>7.6096703296703234</v>
      </c>
      <c r="Q75" s="44" t="str">
        <f t="shared" si="14"/>
        <v>DCM</v>
      </c>
      <c r="R75" s="44">
        <f t="shared" si="15"/>
        <v>61.17647058823529</v>
      </c>
      <c r="S75" s="44">
        <f>N75/worksheet!$F$52</f>
        <v>1.8495726495726479</v>
      </c>
      <c r="T75" s="44">
        <f>0.5*worksheet!$F$62/100*worksheet!$F$29*S75*P75*R75/1000*worksheet!$J$11</f>
        <v>42.944204645550442</v>
      </c>
    </row>
    <row r="76" spans="1:20">
      <c r="A76" s="44">
        <v>2.56</v>
      </c>
      <c r="B76" s="44">
        <f>40+(worksheet!$F$17-40)*(worksheet!$F$11-3)/(worksheet!$F$14-3)</f>
        <v>59.411764705882348</v>
      </c>
      <c r="C76" s="44">
        <f t="shared" si="9"/>
        <v>0.36433333333333301</v>
      </c>
      <c r="D76" s="44">
        <f>1000*worksheet!$F$42*C76/worksheet!$F$52/worksheet!$F$9</f>
        <v>2.0678734764866773</v>
      </c>
      <c r="E76" s="44">
        <f>worksheet!$F$9*D76/worksheet!$F$29/worksheet!$F$11</f>
        <v>8.236106750392457</v>
      </c>
      <c r="F76" s="44" t="str">
        <f t="shared" si="11"/>
        <v>DCM</v>
      </c>
      <c r="G76" s="44">
        <f t="shared" si="12"/>
        <v>59.411764705882348</v>
      </c>
      <c r="H76" s="44">
        <f>C76/worksheet!$F$52</f>
        <v>1.8683760683760666</v>
      </c>
      <c r="I76" s="44">
        <f>0.5*worksheet!$F$62/100*worksheet!$F$29*H76*E76*G76/1000*worksheet!$F$11</f>
        <v>42.557724673395896</v>
      </c>
      <c r="J76" s="46">
        <f t="shared" si="13"/>
        <v>59.411764705882348</v>
      </c>
      <c r="L76" s="44">
        <v>2.56</v>
      </c>
      <c r="M76" s="44">
        <f>40+(worksheet!$F$17-40)*(worksheet!$J$11-3)/(worksheet!$F$14-3)</f>
        <v>61.17647058823529</v>
      </c>
      <c r="N76" s="44">
        <f t="shared" si="10"/>
        <v>0.36433333333333301</v>
      </c>
      <c r="O76" s="44">
        <f>1000*worksheet!$F$42*N76/worksheet!$F$52/worksheet!$F$9</f>
        <v>2.0678734764866773</v>
      </c>
      <c r="P76" s="44">
        <f>worksheet!$F$9*O76/worksheet!$F$29/worksheet!$J$11</f>
        <v>7.6870329670329598</v>
      </c>
      <c r="Q76" s="44" t="str">
        <f t="shared" si="14"/>
        <v>DCM</v>
      </c>
      <c r="R76" s="44">
        <f t="shared" si="15"/>
        <v>61.17647058823529</v>
      </c>
      <c r="S76" s="44">
        <f>N76/worksheet!$F$52</f>
        <v>1.8683760683760666</v>
      </c>
      <c r="T76" s="44">
        <f>0.5*worksheet!$F$62/100*worksheet!$F$29*S76*P76*R76/1000*worksheet!$J$11</f>
        <v>43.821815505278941</v>
      </c>
    </row>
    <row r="77" spans="1:20">
      <c r="A77" s="44">
        <v>2.58</v>
      </c>
      <c r="B77" s="44">
        <f>40+(worksheet!$F$17-40)*(worksheet!$F$11-3)/(worksheet!$F$14-3)</f>
        <v>59.411764705882348</v>
      </c>
      <c r="C77" s="44">
        <f t="shared" si="9"/>
        <v>0.36799999999999966</v>
      </c>
      <c r="D77" s="44">
        <f>1000*worksheet!$F$42*C77/worksheet!$F$52/worksheet!$F$9</f>
        <v>2.0886846459664152</v>
      </c>
      <c r="E77" s="44">
        <f>worksheet!$F$9*D77/worksheet!$F$29/worksheet!$F$11</f>
        <v>8.3189952904238549</v>
      </c>
      <c r="F77" s="44" t="str">
        <f t="shared" si="11"/>
        <v>DCM</v>
      </c>
      <c r="G77" s="44">
        <f t="shared" si="12"/>
        <v>59.411764705882348</v>
      </c>
      <c r="H77" s="44">
        <f>C77/worksheet!$F$52</f>
        <v>1.8871794871794854</v>
      </c>
      <c r="I77" s="44">
        <f>0.5*worksheet!$F$62/100*worksheet!$F$29*H77*E77*G77/1000*worksheet!$F$11</f>
        <v>43.418640751827269</v>
      </c>
      <c r="J77" s="46">
        <f t="shared" si="13"/>
        <v>59.411764705882348</v>
      </c>
      <c r="L77" s="44">
        <v>2.58</v>
      </c>
      <c r="M77" s="44">
        <f>40+(worksheet!$F$17-40)*(worksheet!$J$11-3)/(worksheet!$F$14-3)</f>
        <v>61.17647058823529</v>
      </c>
      <c r="N77" s="44">
        <f t="shared" si="10"/>
        <v>0.36799999999999966</v>
      </c>
      <c r="O77" s="44">
        <f>1000*worksheet!$F$42*N77/worksheet!$F$52/worksheet!$F$9</f>
        <v>2.0886846459664152</v>
      </c>
      <c r="P77" s="44">
        <f>worksheet!$F$9*O77/worksheet!$F$29/worksheet!$J$11</f>
        <v>7.7643956043955979</v>
      </c>
      <c r="Q77" s="44" t="str">
        <f t="shared" si="14"/>
        <v>DCM</v>
      </c>
      <c r="R77" s="44">
        <f t="shared" si="15"/>
        <v>61.17647058823529</v>
      </c>
      <c r="S77" s="44">
        <f>N77/worksheet!$F$52</f>
        <v>1.8871794871794854</v>
      </c>
      <c r="T77" s="44">
        <f>0.5*worksheet!$F$62/100*worksheet!$F$29*S77*P77*R77/1000*worksheet!$J$11</f>
        <v>44.708303348416202</v>
      </c>
    </row>
    <row r="78" spans="1:20">
      <c r="A78" s="44">
        <v>2.6</v>
      </c>
      <c r="B78" s="44">
        <f>40+(worksheet!$F$17-40)*(worksheet!$F$11-3)/(worksheet!$F$14-3)</f>
        <v>59.411764705882348</v>
      </c>
      <c r="C78" s="44">
        <f t="shared" si="9"/>
        <v>0.37166666666666631</v>
      </c>
      <c r="D78" s="44">
        <f>1000*worksheet!$F$42*C78/worksheet!$F$52/worksheet!$F$9</f>
        <v>2.1094958154461532</v>
      </c>
      <c r="E78" s="44">
        <f>worksheet!$F$9*D78/worksheet!$F$29/worksheet!$F$11</f>
        <v>8.401883830455251</v>
      </c>
      <c r="F78" s="44" t="str">
        <f t="shared" si="11"/>
        <v>DCM</v>
      </c>
      <c r="G78" s="44">
        <f t="shared" si="12"/>
        <v>59.411764705882348</v>
      </c>
      <c r="H78" s="44">
        <f>C78/worksheet!$F$52</f>
        <v>1.9059829059829041</v>
      </c>
      <c r="I78" s="44">
        <f>0.5*worksheet!$F$62/100*worksheet!$F$29*H78*E78*G78/1000*worksheet!$F$11</f>
        <v>44.288177746838286</v>
      </c>
      <c r="J78" s="46">
        <f t="shared" si="13"/>
        <v>59.411764705882348</v>
      </c>
      <c r="L78" s="44">
        <v>2.6</v>
      </c>
      <c r="M78" s="44">
        <f>40+(worksheet!$F$17-40)*(worksheet!$J$11-3)/(worksheet!$F$14-3)</f>
        <v>61.17647058823529</v>
      </c>
      <c r="N78" s="44">
        <f t="shared" si="10"/>
        <v>0.37166666666666631</v>
      </c>
      <c r="O78" s="44">
        <f>1000*worksheet!$F$42*N78/worksheet!$F$52/worksheet!$F$9</f>
        <v>2.1094958154461532</v>
      </c>
      <c r="P78" s="44">
        <f>worksheet!$F$9*O78/worksheet!$F$29/worksheet!$J$11</f>
        <v>7.8417582417582343</v>
      </c>
      <c r="Q78" s="44" t="str">
        <f t="shared" si="14"/>
        <v>DCM</v>
      </c>
      <c r="R78" s="44">
        <f t="shared" si="15"/>
        <v>61.17647058823529</v>
      </c>
      <c r="S78" s="44">
        <f>N78/worksheet!$F$52</f>
        <v>1.9059829059829041</v>
      </c>
      <c r="T78" s="44">
        <f>0.5*worksheet!$F$62/100*worksheet!$F$29*S78*P78*R78/1000*worksheet!$J$11</f>
        <v>45.603668174962202</v>
      </c>
    </row>
    <row r="79" spans="1:20">
      <c r="A79" s="44">
        <v>2.62</v>
      </c>
      <c r="B79" s="44">
        <f>40+(worksheet!$F$17-40)*(worksheet!$F$11-3)/(worksheet!$F$14-3)</f>
        <v>59.411764705882348</v>
      </c>
      <c r="C79" s="44">
        <f t="shared" si="9"/>
        <v>0.37533333333333296</v>
      </c>
      <c r="D79" s="44">
        <f>1000*worksheet!$F$42*C79/worksheet!$F$52/worksheet!$F$9</f>
        <v>2.1303069849258907</v>
      </c>
      <c r="E79" s="44">
        <f>worksheet!$F$9*D79/worksheet!$F$29/worksheet!$F$11</f>
        <v>8.4847723704866471</v>
      </c>
      <c r="F79" s="44" t="str">
        <f t="shared" si="11"/>
        <v>DCM</v>
      </c>
      <c r="G79" s="44">
        <f t="shared" si="12"/>
        <v>59.411764705882348</v>
      </c>
      <c r="H79" s="44">
        <f>C79/worksheet!$F$52</f>
        <v>1.9247863247863228</v>
      </c>
      <c r="I79" s="44">
        <f>0.5*worksheet!$F$62/100*worksheet!$F$29*H79*E79*G79/1000*worksheet!$F$11</f>
        <v>45.166335658428949</v>
      </c>
      <c r="J79" s="46">
        <f t="shared" si="13"/>
        <v>59.411764705882348</v>
      </c>
      <c r="L79" s="44">
        <v>2.62</v>
      </c>
      <c r="M79" s="44">
        <f>40+(worksheet!$F$17-40)*(worksheet!$J$11-3)/(worksheet!$F$14-3)</f>
        <v>61.17647058823529</v>
      </c>
      <c r="N79" s="44">
        <f t="shared" si="10"/>
        <v>0.37533333333333296</v>
      </c>
      <c r="O79" s="44">
        <f>1000*worksheet!$F$42*N79/worksheet!$F$52/worksheet!$F$9</f>
        <v>2.1303069849258907</v>
      </c>
      <c r="P79" s="44">
        <f>worksheet!$F$9*O79/worksheet!$F$29/worksheet!$J$11</f>
        <v>7.9191208791208707</v>
      </c>
      <c r="Q79" s="44" t="str">
        <f t="shared" si="14"/>
        <v>DCM</v>
      </c>
      <c r="R79" s="44">
        <f t="shared" si="15"/>
        <v>61.17647058823529</v>
      </c>
      <c r="S79" s="44">
        <f>N79/worksheet!$F$52</f>
        <v>1.9247863247863228</v>
      </c>
      <c r="T79" s="44">
        <f>0.5*worksheet!$F$62/100*worksheet!$F$29*S79*P79*R79/1000*worksheet!$J$11</f>
        <v>46.507909984916942</v>
      </c>
    </row>
    <row r="80" spans="1:20">
      <c r="A80" s="44">
        <v>2.64</v>
      </c>
      <c r="B80" s="44">
        <f>40+(worksheet!$F$17-40)*(worksheet!$F$11-3)/(worksheet!$F$14-3)</f>
        <v>59.411764705882348</v>
      </c>
      <c r="C80" s="44">
        <f t="shared" si="9"/>
        <v>0.37899999999999961</v>
      </c>
      <c r="D80" s="44">
        <f>1000*worksheet!$F$42*C80/worksheet!$F$52/worksheet!$F$9</f>
        <v>2.1511181544056286</v>
      </c>
      <c r="E80" s="44">
        <f>worksheet!$F$9*D80/worksheet!$F$29/worksheet!$F$11</f>
        <v>8.567660910518045</v>
      </c>
      <c r="F80" s="44" t="str">
        <f t="shared" si="11"/>
        <v>DCM</v>
      </c>
      <c r="G80" s="44">
        <f t="shared" si="12"/>
        <v>59.411764705882348</v>
      </c>
      <c r="H80" s="44">
        <f>C80/worksheet!$F$52</f>
        <v>1.9435897435897416</v>
      </c>
      <c r="I80" s="44">
        <f>0.5*worksheet!$F$62/100*worksheet!$F$29*H80*E80*G80/1000*worksheet!$F$11</f>
        <v>46.05311448659927</v>
      </c>
      <c r="J80" s="46">
        <f t="shared" si="13"/>
        <v>59.411764705882348</v>
      </c>
      <c r="L80" s="44">
        <v>2.64</v>
      </c>
      <c r="M80" s="44">
        <f>40+(worksheet!$F$17-40)*(worksheet!$J$11-3)/(worksheet!$F$14-3)</f>
        <v>61.17647058823529</v>
      </c>
      <c r="N80" s="44">
        <f t="shared" si="10"/>
        <v>0.37899999999999961</v>
      </c>
      <c r="O80" s="44">
        <f>1000*worksheet!$F$42*N80/worksheet!$F$52/worksheet!$F$9</f>
        <v>2.1511181544056286</v>
      </c>
      <c r="P80" s="44">
        <f>worksheet!$F$9*O80/worksheet!$F$29/worksheet!$J$11</f>
        <v>7.996483516483508</v>
      </c>
      <c r="Q80" s="44" t="str">
        <f t="shared" si="14"/>
        <v>DCM</v>
      </c>
      <c r="R80" s="44">
        <f t="shared" si="15"/>
        <v>61.17647058823529</v>
      </c>
      <c r="S80" s="44">
        <f>N80/worksheet!$F$52</f>
        <v>1.9435897435897416</v>
      </c>
      <c r="T80" s="44">
        <f>0.5*worksheet!$F$62/100*worksheet!$F$29*S80*P80*R80/1000*worksheet!$J$11</f>
        <v>47.421028778280437</v>
      </c>
    </row>
    <row r="81" spans="1:20">
      <c r="A81" s="44">
        <v>2.66</v>
      </c>
      <c r="B81" s="44">
        <f>40+(worksheet!$F$17-40)*(worksheet!$F$11-3)/(worksheet!$F$14-3)</f>
        <v>59.411764705882348</v>
      </c>
      <c r="C81" s="44">
        <f t="shared" si="9"/>
        <v>0.38266666666666627</v>
      </c>
      <c r="D81" s="44">
        <f>1000*worksheet!$F$42*C81/worksheet!$F$52/worksheet!$F$9</f>
        <v>2.1719293238853665</v>
      </c>
      <c r="E81" s="44">
        <f>worksheet!$F$9*D81/worksheet!$F$29/worksheet!$F$11</f>
        <v>8.6505494505494429</v>
      </c>
      <c r="F81" s="44" t="str">
        <f t="shared" si="11"/>
        <v>DCM</v>
      </c>
      <c r="G81" s="44">
        <f t="shared" si="12"/>
        <v>59.411764705882348</v>
      </c>
      <c r="H81" s="44">
        <f>C81/worksheet!$F$52</f>
        <v>1.9623931623931603</v>
      </c>
      <c r="I81" s="44">
        <f>0.5*worksheet!$F$62/100*worksheet!$F$29*H81*E81*G81/1000*worksheet!$F$11</f>
        <v>46.948514231349243</v>
      </c>
      <c r="J81" s="46">
        <f t="shared" si="13"/>
        <v>59.411764705882348</v>
      </c>
      <c r="L81" s="44">
        <v>2.66</v>
      </c>
      <c r="M81" s="44">
        <f>40+(worksheet!$F$17-40)*(worksheet!$J$11-3)/(worksheet!$F$14-3)</f>
        <v>61.17647058823529</v>
      </c>
      <c r="N81" s="44">
        <f t="shared" si="10"/>
        <v>0.38266666666666627</v>
      </c>
      <c r="O81" s="44">
        <f>1000*worksheet!$F$42*N81/worksheet!$F$52/worksheet!$F$9</f>
        <v>2.1719293238853665</v>
      </c>
      <c r="P81" s="44">
        <f>worksheet!$F$9*O81/worksheet!$F$29/worksheet!$J$11</f>
        <v>8.0738461538461461</v>
      </c>
      <c r="Q81" s="44" t="str">
        <f t="shared" si="14"/>
        <v>DCM</v>
      </c>
      <c r="R81" s="44">
        <f t="shared" si="15"/>
        <v>61.17647058823529</v>
      </c>
      <c r="S81" s="44">
        <f>N81/worksheet!$F$52</f>
        <v>1.9623931623931603</v>
      </c>
      <c r="T81" s="44">
        <f>0.5*worksheet!$F$62/100*worksheet!$F$29*S81*P81*R81/1000*worksheet!$J$11</f>
        <v>48.343024555052686</v>
      </c>
    </row>
    <row r="82" spans="1:20">
      <c r="A82" s="44">
        <v>2.68</v>
      </c>
      <c r="B82" s="44">
        <f>40+(worksheet!$F$17-40)*(worksheet!$F$11-3)/(worksheet!$F$14-3)</f>
        <v>59.411764705882348</v>
      </c>
      <c r="C82" s="44">
        <f t="shared" si="9"/>
        <v>0.38633333333333292</v>
      </c>
      <c r="D82" s="44">
        <f>1000*worksheet!$F$42*C82/worksheet!$F$52/worksheet!$F$9</f>
        <v>2.192740493365104</v>
      </c>
      <c r="E82" s="44">
        <f>worksheet!$F$9*D82/worksheet!$F$29/worksheet!$F$11</f>
        <v>8.7334379905808373</v>
      </c>
      <c r="F82" s="44" t="str">
        <f t="shared" si="11"/>
        <v>DCM</v>
      </c>
      <c r="G82" s="44">
        <f t="shared" si="12"/>
        <v>59.411764705882348</v>
      </c>
      <c r="H82" s="44">
        <f>C82/worksheet!$F$52</f>
        <v>1.981196581196579</v>
      </c>
      <c r="I82" s="44">
        <f>0.5*worksheet!$F$62/100*worksheet!$F$29*H82*E82*G82/1000*worksheet!$F$11</f>
        <v>47.852534892678854</v>
      </c>
      <c r="J82" s="46">
        <f t="shared" si="13"/>
        <v>59.411764705882348</v>
      </c>
      <c r="L82" s="44">
        <v>2.68</v>
      </c>
      <c r="M82" s="44">
        <f>40+(worksheet!$F$17-40)*(worksheet!$J$11-3)/(worksheet!$F$14-3)</f>
        <v>61.17647058823529</v>
      </c>
      <c r="N82" s="44">
        <f t="shared" si="10"/>
        <v>0.38633333333333292</v>
      </c>
      <c r="O82" s="44">
        <f>1000*worksheet!$F$42*N82/worksheet!$F$52/worksheet!$F$9</f>
        <v>2.192740493365104</v>
      </c>
      <c r="P82" s="44">
        <f>worksheet!$F$9*O82/worksheet!$F$29/worksheet!$J$11</f>
        <v>8.1512087912087825</v>
      </c>
      <c r="Q82" s="44" t="str">
        <f t="shared" si="14"/>
        <v>DCM</v>
      </c>
      <c r="R82" s="44">
        <f t="shared" si="15"/>
        <v>61.17647058823529</v>
      </c>
      <c r="S82" s="44">
        <f>N82/worksheet!$F$52</f>
        <v>1.981196581196579</v>
      </c>
      <c r="T82" s="44">
        <f>0.5*worksheet!$F$62/100*worksheet!$F$29*S82*P82*R82/1000*worksheet!$J$11</f>
        <v>49.273897315233675</v>
      </c>
    </row>
    <row r="83" spans="1:20">
      <c r="A83" s="44">
        <v>2.7</v>
      </c>
      <c r="B83" s="44">
        <f>40+(worksheet!$F$17-40)*(worksheet!$F$11-3)/(worksheet!$F$14-3)</f>
        <v>59.411764705882348</v>
      </c>
      <c r="C83" s="44">
        <f t="shared" si="9"/>
        <v>0.38999999999999957</v>
      </c>
      <c r="D83" s="44">
        <f>1000*worksheet!$F$42*C83/worksheet!$F$52/worksheet!$F$9</f>
        <v>2.2135516628448419</v>
      </c>
      <c r="E83" s="44">
        <f>worksheet!$F$9*D83/worksheet!$F$29/worksheet!$F$11</f>
        <v>8.8163265306122351</v>
      </c>
      <c r="F83" s="44" t="str">
        <f t="shared" si="11"/>
        <v>DCM</v>
      </c>
      <c r="G83" s="44">
        <f t="shared" si="12"/>
        <v>59.411764705882348</v>
      </c>
      <c r="H83" s="44">
        <f>C83/worksheet!$F$52</f>
        <v>1.9999999999999978</v>
      </c>
      <c r="I83" s="44">
        <f>0.5*worksheet!$F$62/100*worksheet!$F$29*H83*E83*G83/1000*worksheet!$F$11</f>
        <v>48.765176470588116</v>
      </c>
      <c r="J83" s="46">
        <f t="shared" si="13"/>
        <v>59.411764705882348</v>
      </c>
      <c r="L83" s="44">
        <v>2.7</v>
      </c>
      <c r="M83" s="44">
        <f>40+(worksheet!$F$17-40)*(worksheet!$J$11-3)/(worksheet!$F$14-3)</f>
        <v>61.17647058823529</v>
      </c>
      <c r="N83" s="44">
        <f t="shared" si="10"/>
        <v>0.38999999999999957</v>
      </c>
      <c r="O83" s="44">
        <f>1000*worksheet!$F$42*N83/worksheet!$F$52/worksheet!$F$9</f>
        <v>2.2135516628448419</v>
      </c>
      <c r="P83" s="44">
        <f>worksheet!$F$9*O83/worksheet!$F$29/worksheet!$J$11</f>
        <v>8.2285714285714207</v>
      </c>
      <c r="Q83" s="44" t="str">
        <f t="shared" si="14"/>
        <v>DCM</v>
      </c>
      <c r="R83" s="44">
        <f t="shared" si="15"/>
        <v>61.17647058823529</v>
      </c>
      <c r="S83" s="44">
        <f>N83/worksheet!$F$52</f>
        <v>1.9999999999999978</v>
      </c>
      <c r="T83" s="44">
        <f>0.5*worksheet!$F$62/100*worksheet!$F$29*S83*P83*R83/1000*worksheet!$J$11</f>
        <v>50.213647058823419</v>
      </c>
    </row>
    <row r="84" spans="1:20">
      <c r="A84" s="44">
        <v>2.72</v>
      </c>
      <c r="B84" s="44">
        <f>40+(worksheet!$F$17-40)*(worksheet!$F$11-3)/(worksheet!$F$14-3)</f>
        <v>59.411764705882348</v>
      </c>
      <c r="C84" s="44">
        <f t="shared" si="9"/>
        <v>0.39366666666666622</v>
      </c>
      <c r="D84" s="44">
        <f>1000*worksheet!$F$42*C84/worksheet!$F$52/worksheet!$F$9</f>
        <v>2.2343628323245794</v>
      </c>
      <c r="E84" s="44">
        <f>worksheet!$F$9*D84/worksheet!$F$29/worksheet!$F$11</f>
        <v>8.8992150706436313</v>
      </c>
      <c r="F84" s="44" t="str">
        <f t="shared" si="11"/>
        <v>DCM</v>
      </c>
      <c r="G84" s="44">
        <f t="shared" si="12"/>
        <v>59.411764705882348</v>
      </c>
      <c r="H84" s="44">
        <f>C84/worksheet!$F$52</f>
        <v>2.0188034188034165</v>
      </c>
      <c r="I84" s="44">
        <f>0.5*worksheet!$F$62/100*worksheet!$F$29*H84*E84*G84/1000*worksheet!$F$11</f>
        <v>49.686438965077031</v>
      </c>
      <c r="J84" s="46">
        <f t="shared" si="13"/>
        <v>59.411764705882348</v>
      </c>
      <c r="L84" s="44">
        <v>2.72</v>
      </c>
      <c r="M84" s="44">
        <f>40+(worksheet!$F$17-40)*(worksheet!$J$11-3)/(worksheet!$F$14-3)</f>
        <v>61.17647058823529</v>
      </c>
      <c r="N84" s="44">
        <f t="shared" si="10"/>
        <v>0.39366666666666622</v>
      </c>
      <c r="O84" s="44">
        <f>1000*worksheet!$F$42*N84/worksheet!$F$52/worksheet!$F$9</f>
        <v>2.2343628323245794</v>
      </c>
      <c r="P84" s="44">
        <f>worksheet!$F$9*O84/worksheet!$F$29/worksheet!$J$11</f>
        <v>8.305934065934057</v>
      </c>
      <c r="Q84" s="44" t="str">
        <f t="shared" si="14"/>
        <v>DCM</v>
      </c>
      <c r="R84" s="44">
        <f t="shared" si="15"/>
        <v>61.17647058823529</v>
      </c>
      <c r="S84" s="44">
        <f>N84/worksheet!$F$52</f>
        <v>2.0188034188034165</v>
      </c>
      <c r="T84" s="44">
        <f>0.5*worksheet!$F$62/100*worksheet!$F$29*S84*P84*R84/1000*worksheet!$J$11</f>
        <v>51.162273785821903</v>
      </c>
    </row>
    <row r="85" spans="1:20">
      <c r="A85" s="44">
        <v>2.74</v>
      </c>
      <c r="B85" s="44">
        <f>40+(worksheet!$F$17-40)*(worksheet!$F$11-3)/(worksheet!$F$14-3)</f>
        <v>59.411764705882348</v>
      </c>
      <c r="C85" s="44">
        <f t="shared" si="9"/>
        <v>0.39733333333333287</v>
      </c>
      <c r="D85" s="44">
        <f>1000*worksheet!$F$42*C85/worksheet!$F$52/worksheet!$F$9</f>
        <v>2.2551740018043174</v>
      </c>
      <c r="E85" s="44">
        <f>worksheet!$F$9*D85/worksheet!$F$29/worksheet!$F$11</f>
        <v>8.9821036106750292</v>
      </c>
      <c r="F85" s="44" t="str">
        <f t="shared" si="11"/>
        <v>DCM</v>
      </c>
      <c r="G85" s="44">
        <f t="shared" si="12"/>
        <v>59.411764705882348</v>
      </c>
      <c r="H85" s="44">
        <f>C85/worksheet!$F$52</f>
        <v>2.0376068376068353</v>
      </c>
      <c r="I85" s="44">
        <f>0.5*worksheet!$F$62/100*worksheet!$F$29*H85*E85*G85/1000*worksheet!$F$11</f>
        <v>50.61632237614559</v>
      </c>
      <c r="J85" s="46">
        <f t="shared" si="13"/>
        <v>59.411764705882348</v>
      </c>
      <c r="L85" s="44">
        <v>2.74</v>
      </c>
      <c r="M85" s="44">
        <f>40+(worksheet!$F$17-40)*(worksheet!$J$11-3)/(worksheet!$F$14-3)</f>
        <v>61.17647058823529</v>
      </c>
      <c r="N85" s="44">
        <f t="shared" si="10"/>
        <v>0.39733333333333287</v>
      </c>
      <c r="O85" s="44">
        <f>1000*worksheet!$F$42*N85/worksheet!$F$52/worksheet!$F$9</f>
        <v>2.2551740018043174</v>
      </c>
      <c r="P85" s="44">
        <f>worksheet!$F$9*O85/worksheet!$F$29/worksheet!$J$11</f>
        <v>8.3832967032966952</v>
      </c>
      <c r="Q85" s="44" t="str">
        <f t="shared" si="14"/>
        <v>DCM</v>
      </c>
      <c r="R85" s="44">
        <f t="shared" si="15"/>
        <v>61.17647058823529</v>
      </c>
      <c r="S85" s="44">
        <f>N85/worksheet!$F$52</f>
        <v>2.0376068376068353</v>
      </c>
      <c r="T85" s="44">
        <f>0.5*worksheet!$F$62/100*worksheet!$F$29*S85*P85*R85/1000*worksheet!$J$11</f>
        <v>52.11977749622914</v>
      </c>
    </row>
    <row r="86" spans="1:20">
      <c r="A86" s="44">
        <v>2.76</v>
      </c>
      <c r="B86" s="44">
        <f>40+(worksheet!$F$17-40)*(worksheet!$F$11-3)/(worksheet!$F$14-3)</f>
        <v>59.411764705882348</v>
      </c>
      <c r="C86" s="44">
        <f t="shared" si="9"/>
        <v>0.40099999999999952</v>
      </c>
      <c r="D86" s="44">
        <f>1000*worksheet!$F$42*C86/worksheet!$F$52/worksheet!$F$9</f>
        <v>2.2759851712840553</v>
      </c>
      <c r="E86" s="44">
        <f>worksheet!$F$9*D86/worksheet!$F$29/worksheet!$F$11</f>
        <v>9.0649921507064271</v>
      </c>
      <c r="F86" s="44" t="str">
        <f t="shared" si="11"/>
        <v>DCM</v>
      </c>
      <c r="G86" s="44">
        <f t="shared" si="12"/>
        <v>59.411764705882348</v>
      </c>
      <c r="H86" s="44">
        <f>C86/worksheet!$F$52</f>
        <v>2.056410256410254</v>
      </c>
      <c r="I86" s="44">
        <f>0.5*worksheet!$F$62/100*worksheet!$F$29*H86*E86*G86/1000*worksheet!$F$11</f>
        <v>51.554826703793822</v>
      </c>
      <c r="J86" s="46">
        <f t="shared" si="13"/>
        <v>59.411764705882348</v>
      </c>
      <c r="L86" s="44">
        <v>2.76</v>
      </c>
      <c r="M86" s="44">
        <f>40+(worksheet!$F$17-40)*(worksheet!$J$11-3)/(worksheet!$F$14-3)</f>
        <v>61.17647058823529</v>
      </c>
      <c r="N86" s="44">
        <f t="shared" si="10"/>
        <v>0.40099999999999952</v>
      </c>
      <c r="O86" s="44">
        <f>1000*worksheet!$F$42*N86/worksheet!$F$52/worksheet!$F$9</f>
        <v>2.2759851712840553</v>
      </c>
      <c r="P86" s="44">
        <f>worksheet!$F$9*O86/worksheet!$F$29/worksheet!$J$11</f>
        <v>8.4606593406593316</v>
      </c>
      <c r="Q86" s="44" t="str">
        <f t="shared" si="14"/>
        <v>DCM</v>
      </c>
      <c r="R86" s="44">
        <f t="shared" si="15"/>
        <v>61.17647058823529</v>
      </c>
      <c r="S86" s="44">
        <f>N86/worksheet!$F$52</f>
        <v>2.056410256410254</v>
      </c>
      <c r="T86" s="44">
        <f>0.5*worksheet!$F$62/100*worksheet!$F$29*S86*P86*R86/1000*worksheet!$J$11</f>
        <v>53.086158190045111</v>
      </c>
    </row>
    <row r="87" spans="1:20">
      <c r="A87" s="44">
        <v>2.78</v>
      </c>
      <c r="B87" s="44">
        <f>40+(worksheet!$F$17-40)*(worksheet!$F$11-3)/(worksheet!$F$14-3)</f>
        <v>59.411764705882348</v>
      </c>
      <c r="C87" s="44">
        <f t="shared" si="9"/>
        <v>0.40466666666666617</v>
      </c>
      <c r="D87" s="44">
        <f>1000*worksheet!$F$42*C87/worksheet!$F$52/worksheet!$F$9</f>
        <v>2.2967963407637928</v>
      </c>
      <c r="E87" s="44">
        <f>worksheet!$F$9*D87/worksheet!$F$29/worksheet!$F$11</f>
        <v>9.1478806907378214</v>
      </c>
      <c r="F87" s="44" t="str">
        <f t="shared" si="11"/>
        <v>DCM</v>
      </c>
      <c r="G87" s="44">
        <f t="shared" si="12"/>
        <v>59.411764705882348</v>
      </c>
      <c r="H87" s="44">
        <f>C87/worksheet!$F$52</f>
        <v>2.0752136752136727</v>
      </c>
      <c r="I87" s="44">
        <f>0.5*worksheet!$F$62/100*worksheet!$F$29*H87*E87*G87/1000*worksheet!$F$11</f>
        <v>52.50195194802167</v>
      </c>
      <c r="J87" s="46">
        <f t="shared" si="13"/>
        <v>59.411764705882348</v>
      </c>
      <c r="L87" s="44">
        <v>2.78</v>
      </c>
      <c r="M87" s="44">
        <f>40+(worksheet!$F$17-40)*(worksheet!$J$11-3)/(worksheet!$F$14-3)</f>
        <v>61.17647058823529</v>
      </c>
      <c r="N87" s="44">
        <f t="shared" si="10"/>
        <v>0.40466666666666617</v>
      </c>
      <c r="O87" s="44">
        <f>1000*worksheet!$F$42*N87/worksheet!$F$52/worksheet!$F$9</f>
        <v>2.2967963407637928</v>
      </c>
      <c r="P87" s="44">
        <f>worksheet!$F$9*O87/worksheet!$F$29/worksheet!$J$11</f>
        <v>8.5380219780219662</v>
      </c>
      <c r="Q87" s="44" t="str">
        <f t="shared" si="14"/>
        <v>DCM</v>
      </c>
      <c r="R87" s="44">
        <f t="shared" si="15"/>
        <v>61.17647058823529</v>
      </c>
      <c r="S87" s="44">
        <f>N87/worksheet!$F$52</f>
        <v>2.0752136752136727</v>
      </c>
      <c r="T87" s="44">
        <f>0.5*worksheet!$F$62/100*worksheet!$F$29*S87*P87*R87/1000*worksheet!$J$11</f>
        <v>54.061415867269837</v>
      </c>
    </row>
    <row r="88" spans="1:20">
      <c r="A88" s="44">
        <v>2.8</v>
      </c>
      <c r="B88" s="44">
        <f>40+(worksheet!$F$17-40)*(worksheet!$F$11-3)/(worksheet!$F$14-3)</f>
        <v>59.411764705882348</v>
      </c>
      <c r="C88" s="44">
        <f t="shared" si="9"/>
        <v>0.40833333333333283</v>
      </c>
      <c r="D88" s="44">
        <f>1000*worksheet!$F$42*C88/worksheet!$F$52/worksheet!$F$9</f>
        <v>2.3176075102435303</v>
      </c>
      <c r="E88" s="44">
        <f>worksheet!$F$9*D88/worksheet!$F$29/worksheet!$F$11</f>
        <v>9.2307692307692175</v>
      </c>
      <c r="F88" s="44" t="str">
        <f t="shared" si="11"/>
        <v>DCM</v>
      </c>
      <c r="G88" s="44">
        <f t="shared" si="12"/>
        <v>59.411764705882348</v>
      </c>
      <c r="H88" s="44">
        <f>C88/worksheet!$F$52</f>
        <v>2.0940170940170915</v>
      </c>
      <c r="I88" s="44">
        <f>0.5*worksheet!$F$62/100*worksheet!$F$29*H88*E88*G88/1000*worksheet!$F$11</f>
        <v>53.45769810882917</v>
      </c>
      <c r="J88" s="46">
        <f t="shared" si="13"/>
        <v>59.411764705882348</v>
      </c>
      <c r="L88" s="44">
        <v>2.8</v>
      </c>
      <c r="M88" s="44">
        <f>40+(worksheet!$F$17-40)*(worksheet!$J$11-3)/(worksheet!$F$14-3)</f>
        <v>61.17647058823529</v>
      </c>
      <c r="N88" s="44">
        <f t="shared" si="10"/>
        <v>0.40833333333333283</v>
      </c>
      <c r="O88" s="44">
        <f>1000*worksheet!$F$42*N88/worksheet!$F$52/worksheet!$F$9</f>
        <v>2.3176075102435303</v>
      </c>
      <c r="P88" s="44">
        <f>worksheet!$F$9*O88/worksheet!$F$29/worksheet!$J$11</f>
        <v>8.6153846153846043</v>
      </c>
      <c r="Q88" s="44" t="str">
        <f t="shared" si="14"/>
        <v>DCM</v>
      </c>
      <c r="R88" s="44">
        <f t="shared" si="15"/>
        <v>61.17647058823529</v>
      </c>
      <c r="S88" s="44">
        <f>N88/worksheet!$F$52</f>
        <v>2.0940170940170915</v>
      </c>
      <c r="T88" s="44">
        <f>0.5*worksheet!$F$62/100*worksheet!$F$29*S88*P88*R88/1000*worksheet!$J$11</f>
        <v>55.045550527903323</v>
      </c>
    </row>
    <row r="89" spans="1:20">
      <c r="A89" s="44">
        <v>2.82</v>
      </c>
      <c r="B89" s="44">
        <f>40+(worksheet!$F$17-40)*(worksheet!$F$11-3)/(worksheet!$F$14-3)</f>
        <v>59.411764705882348</v>
      </c>
      <c r="C89" s="44">
        <f t="shared" si="9"/>
        <v>0.41199999999999948</v>
      </c>
      <c r="D89" s="44">
        <f>1000*worksheet!$F$42*C89/worksheet!$F$52/worksheet!$F$9</f>
        <v>2.3384186797232682</v>
      </c>
      <c r="E89" s="44">
        <f>worksheet!$F$9*D89/worksheet!$F$29/worksheet!$F$11</f>
        <v>9.3136577708006154</v>
      </c>
      <c r="F89" s="44" t="str">
        <f t="shared" si="11"/>
        <v>DCM</v>
      </c>
      <c r="G89" s="44">
        <f t="shared" si="12"/>
        <v>59.411764705882348</v>
      </c>
      <c r="H89" s="44">
        <f>C89/worksheet!$F$52</f>
        <v>2.1128205128205102</v>
      </c>
      <c r="I89" s="44">
        <f>0.5*worksheet!$F$62/100*worksheet!$F$29*H89*E89*G89/1000*worksheet!$F$11</f>
        <v>54.422065186216344</v>
      </c>
      <c r="J89" s="46">
        <f t="shared" si="13"/>
        <v>59.411764705882348</v>
      </c>
      <c r="L89" s="44">
        <v>2.82</v>
      </c>
      <c r="M89" s="44">
        <f>40+(worksheet!$F$17-40)*(worksheet!$J$11-3)/(worksheet!$F$14-3)</f>
        <v>61.17647058823529</v>
      </c>
      <c r="N89" s="44">
        <f t="shared" si="10"/>
        <v>0.41199999999999948</v>
      </c>
      <c r="O89" s="44">
        <f>1000*worksheet!$F$42*N89/worksheet!$F$52/worksheet!$F$9</f>
        <v>2.3384186797232682</v>
      </c>
      <c r="P89" s="44">
        <f>worksheet!$F$9*O89/worksheet!$F$29/worksheet!$J$11</f>
        <v>8.6927472527472407</v>
      </c>
      <c r="Q89" s="44" t="str">
        <f t="shared" si="14"/>
        <v>DCM</v>
      </c>
      <c r="R89" s="44">
        <f t="shared" si="15"/>
        <v>61.17647058823529</v>
      </c>
      <c r="S89" s="44">
        <f>N89/worksheet!$F$52</f>
        <v>2.1128205128205102</v>
      </c>
      <c r="T89" s="44">
        <f>0.5*worksheet!$F$62/100*worksheet!$F$29*S89*P89*R89/1000*worksheet!$J$11</f>
        <v>56.038562171945543</v>
      </c>
    </row>
    <row r="90" spans="1:20">
      <c r="A90" s="44">
        <v>2.84</v>
      </c>
      <c r="B90" s="44">
        <f>40+(worksheet!$F$17-40)*(worksheet!$F$11-3)/(worksheet!$F$14-3)</f>
        <v>59.411764705882348</v>
      </c>
      <c r="C90" s="44">
        <f t="shared" si="9"/>
        <v>0.41566666666666613</v>
      </c>
      <c r="D90" s="44">
        <f>1000*worksheet!$F$42*C90/worksheet!$F$52/worksheet!$F$9</f>
        <v>2.3592298492030062</v>
      </c>
      <c r="E90" s="44">
        <f>worksheet!$F$9*D90/worksheet!$F$29/worksheet!$F$11</f>
        <v>9.3965463108320133</v>
      </c>
      <c r="F90" s="44" t="str">
        <f t="shared" si="11"/>
        <v>DCM</v>
      </c>
      <c r="G90" s="44">
        <f t="shared" si="12"/>
        <v>59.411764705882348</v>
      </c>
      <c r="H90" s="44">
        <f>C90/worksheet!$F$52</f>
        <v>2.1316239316239289</v>
      </c>
      <c r="I90" s="44">
        <f>0.5*worksheet!$F$62/100*worksheet!$F$29*H90*E90*G90/1000*worksheet!$F$11</f>
        <v>55.395053180183176</v>
      </c>
      <c r="J90" s="46">
        <f t="shared" si="13"/>
        <v>59.411764705882348</v>
      </c>
      <c r="L90" s="44">
        <v>2.84</v>
      </c>
      <c r="M90" s="44">
        <f>40+(worksheet!$F$17-40)*(worksheet!$J$11-3)/(worksheet!$F$14-3)</f>
        <v>61.17647058823529</v>
      </c>
      <c r="N90" s="44">
        <f t="shared" si="10"/>
        <v>0.41566666666666613</v>
      </c>
      <c r="O90" s="44">
        <f>1000*worksheet!$F$42*N90/worksheet!$F$52/worksheet!$F$9</f>
        <v>2.3592298492030062</v>
      </c>
      <c r="P90" s="44">
        <f>worksheet!$F$9*O90/worksheet!$F$29/worksheet!$J$11</f>
        <v>8.7701098901098806</v>
      </c>
      <c r="Q90" s="44" t="str">
        <f t="shared" si="14"/>
        <v>DCM</v>
      </c>
      <c r="R90" s="44">
        <f t="shared" si="15"/>
        <v>61.17647058823529</v>
      </c>
      <c r="S90" s="44">
        <f>N90/worksheet!$F$52</f>
        <v>2.1316239316239289</v>
      </c>
      <c r="T90" s="44">
        <f>0.5*worksheet!$F$62/100*worksheet!$F$29*S90*P90*R90/1000*worksheet!$J$11</f>
        <v>57.040450799396538</v>
      </c>
    </row>
    <row r="91" spans="1:20">
      <c r="A91" s="44">
        <v>2.86</v>
      </c>
      <c r="B91" s="44">
        <f>40+(worksheet!$F$17-40)*(worksheet!$F$11-3)/(worksheet!$F$14-3)</f>
        <v>59.411764705882348</v>
      </c>
      <c r="C91" s="44">
        <f t="shared" si="9"/>
        <v>0.41933333333333278</v>
      </c>
      <c r="D91" s="44">
        <f>1000*worksheet!$F$42*C91/worksheet!$F$52/worksheet!$F$9</f>
        <v>2.3800410186827441</v>
      </c>
      <c r="E91" s="44">
        <f>worksheet!$F$9*D91/worksheet!$F$29/worksheet!$F$11</f>
        <v>9.4794348508634112</v>
      </c>
      <c r="F91" s="44" t="str">
        <f t="shared" si="11"/>
        <v>DCM</v>
      </c>
      <c r="G91" s="44">
        <f t="shared" si="12"/>
        <v>59.411764705882348</v>
      </c>
      <c r="H91" s="44">
        <f>C91/worksheet!$F$52</f>
        <v>2.1504273504273477</v>
      </c>
      <c r="I91" s="44">
        <f>0.5*worksheet!$F$62/100*worksheet!$F$29*H91*E91*G91/1000*worksheet!$F$11</f>
        <v>56.376662090729639</v>
      </c>
      <c r="J91" s="46">
        <f t="shared" si="13"/>
        <v>59.411764705882348</v>
      </c>
      <c r="L91" s="44">
        <v>2.86</v>
      </c>
      <c r="M91" s="44">
        <f>40+(worksheet!$F$17-40)*(worksheet!$J$11-3)/(worksheet!$F$14-3)</f>
        <v>61.17647058823529</v>
      </c>
      <c r="N91" s="44">
        <f t="shared" si="10"/>
        <v>0.41933333333333278</v>
      </c>
      <c r="O91" s="44">
        <f>1000*worksheet!$F$42*N91/worksheet!$F$52/worksheet!$F$9</f>
        <v>2.3800410186827441</v>
      </c>
      <c r="P91" s="44">
        <f>worksheet!$F$9*O91/worksheet!$F$29/worksheet!$J$11</f>
        <v>8.847472527472517</v>
      </c>
      <c r="Q91" s="44" t="str">
        <f t="shared" si="14"/>
        <v>DCM</v>
      </c>
      <c r="R91" s="44">
        <f t="shared" si="15"/>
        <v>61.17647058823529</v>
      </c>
      <c r="S91" s="44">
        <f>N91/worksheet!$F$52</f>
        <v>2.1504273504273477</v>
      </c>
      <c r="T91" s="44">
        <f>0.5*worksheet!$F$62/100*worksheet!$F$29*S91*P91*R91/1000*worksheet!$J$11</f>
        <v>58.051216410256266</v>
      </c>
    </row>
    <row r="92" spans="1:20">
      <c r="A92" s="44">
        <v>2.88</v>
      </c>
      <c r="B92" s="44">
        <f>40+(worksheet!$F$17-40)*(worksheet!$F$11-3)/(worksheet!$F$14-3)</f>
        <v>59.411764705882348</v>
      </c>
      <c r="C92" s="44">
        <f t="shared" si="9"/>
        <v>0.42299999999999943</v>
      </c>
      <c r="D92" s="44">
        <f>1000*worksheet!$F$42*C92/worksheet!$F$52/worksheet!$F$9</f>
        <v>2.400852188162482</v>
      </c>
      <c r="E92" s="44">
        <f>worksheet!$F$9*D92/worksheet!$F$29/worksheet!$F$11</f>
        <v>9.5623233908948073</v>
      </c>
      <c r="F92" s="44" t="str">
        <f t="shared" si="11"/>
        <v>DCM</v>
      </c>
      <c r="G92" s="44">
        <f t="shared" si="12"/>
        <v>59.411764705882348</v>
      </c>
      <c r="H92" s="44">
        <f>C92/worksheet!$F$52</f>
        <v>2.1692307692307664</v>
      </c>
      <c r="I92" s="44">
        <f>0.5*worksheet!$F$62/100*worksheet!$F$29*H92*E92*G92/1000*worksheet!$F$11</f>
        <v>57.366891917855739</v>
      </c>
      <c r="J92" s="46">
        <f t="shared" si="13"/>
        <v>59.411764705882348</v>
      </c>
      <c r="L92" s="44">
        <v>2.88</v>
      </c>
      <c r="M92" s="44">
        <f>40+(worksheet!$F$17-40)*(worksheet!$J$11-3)/(worksheet!$F$14-3)</f>
        <v>61.17647058823529</v>
      </c>
      <c r="N92" s="44">
        <f t="shared" si="10"/>
        <v>0.42299999999999943</v>
      </c>
      <c r="O92" s="44">
        <f>1000*worksheet!$F$42*N92/worksheet!$F$52/worksheet!$F$9</f>
        <v>2.400852188162482</v>
      </c>
      <c r="P92" s="44">
        <f>worksheet!$F$9*O92/worksheet!$F$29/worksheet!$J$11</f>
        <v>8.9248351648351534</v>
      </c>
      <c r="Q92" s="44" t="str">
        <f t="shared" si="14"/>
        <v>DCM</v>
      </c>
      <c r="R92" s="44">
        <f t="shared" si="15"/>
        <v>61.17647058823529</v>
      </c>
      <c r="S92" s="44">
        <f>N92/worksheet!$F$52</f>
        <v>2.1692307692307664</v>
      </c>
      <c r="T92" s="44">
        <f>0.5*worksheet!$F$62/100*worksheet!$F$29*S92*P92*R92/1000*worksheet!$J$11</f>
        <v>59.070859004524728</v>
      </c>
    </row>
    <row r="93" spans="1:20">
      <c r="A93" s="44">
        <v>2.9</v>
      </c>
      <c r="B93" s="44">
        <f>40+(worksheet!$F$17-40)*(worksheet!$F$11-3)/(worksheet!$F$14-3)</f>
        <v>59.411764705882348</v>
      </c>
      <c r="C93" s="44">
        <f t="shared" si="9"/>
        <v>0.42666666666666608</v>
      </c>
      <c r="D93" s="44">
        <f>1000*worksheet!$F$42*C93/worksheet!$F$52/worksheet!$F$9</f>
        <v>2.4216633576422191</v>
      </c>
      <c r="E93" s="44">
        <f>worksheet!$F$9*D93/worksheet!$F$29/worksheet!$F$11</f>
        <v>9.6452119309262034</v>
      </c>
      <c r="F93" s="44" t="str">
        <f t="shared" si="11"/>
        <v>DCM</v>
      </c>
      <c r="G93" s="44">
        <f t="shared" si="12"/>
        <v>59.411764705882348</v>
      </c>
      <c r="H93" s="44">
        <f>C93/worksheet!$F$52</f>
        <v>2.1880341880341851</v>
      </c>
      <c r="I93" s="44">
        <f>0.5*worksheet!$F$62/100*worksheet!$F$29*H93*E93*G93/1000*worksheet!$F$11</f>
        <v>58.365742661561498</v>
      </c>
      <c r="J93" s="46">
        <f t="shared" si="13"/>
        <v>59.411764705882348</v>
      </c>
      <c r="L93" s="44">
        <v>2.9</v>
      </c>
      <c r="M93" s="44">
        <f>40+(worksheet!$F$17-40)*(worksheet!$J$11-3)/(worksheet!$F$14-3)</f>
        <v>61.17647058823529</v>
      </c>
      <c r="N93" s="44">
        <f t="shared" si="10"/>
        <v>0.42666666666666608</v>
      </c>
      <c r="O93" s="44">
        <f>1000*worksheet!$F$42*N93/worksheet!$F$52/worksheet!$F$9</f>
        <v>2.4216633576422191</v>
      </c>
      <c r="P93" s="44">
        <f>worksheet!$F$9*O93/worksheet!$F$29/worksheet!$J$11</f>
        <v>9.0021978021977898</v>
      </c>
      <c r="Q93" s="44" t="str">
        <f t="shared" si="14"/>
        <v>DCM</v>
      </c>
      <c r="R93" s="44">
        <f t="shared" si="15"/>
        <v>61.17647058823529</v>
      </c>
      <c r="S93" s="44">
        <f>N93/worksheet!$F$52</f>
        <v>2.1880341880341851</v>
      </c>
      <c r="T93" s="44">
        <f>0.5*worksheet!$F$62/100*worksheet!$F$29*S93*P93*R93/1000*worksheet!$J$11</f>
        <v>60.099378582201943</v>
      </c>
    </row>
    <row r="94" spans="1:20">
      <c r="A94" s="44">
        <v>2.92</v>
      </c>
      <c r="B94" s="44">
        <f>40+(worksheet!$F$17-40)*(worksheet!$F$11-3)/(worksheet!$F$14-3)</f>
        <v>59.411764705882348</v>
      </c>
      <c r="C94" s="44">
        <f t="shared" si="9"/>
        <v>0.43033333333333273</v>
      </c>
      <c r="D94" s="44">
        <f>1000*worksheet!$F$42*C94/worksheet!$F$52/worksheet!$F$9</f>
        <v>2.442474527121957</v>
      </c>
      <c r="E94" s="44">
        <f>worksheet!$F$9*D94/worksheet!$F$29/worksheet!$F$11</f>
        <v>9.7281004709575996</v>
      </c>
      <c r="F94" s="44" t="str">
        <f t="shared" si="11"/>
        <v>DCM</v>
      </c>
      <c r="G94" s="44">
        <f t="shared" si="12"/>
        <v>59.411764705882348</v>
      </c>
      <c r="H94" s="44">
        <f>C94/worksheet!$F$52</f>
        <v>2.2068376068376039</v>
      </c>
      <c r="I94" s="44">
        <f>0.5*worksheet!$F$62/100*worksheet!$F$29*H94*E94*G94/1000*worksheet!$F$11</f>
        <v>59.373214321846902</v>
      </c>
      <c r="J94" s="46">
        <f t="shared" si="13"/>
        <v>59.411764705882348</v>
      </c>
      <c r="L94" s="44">
        <v>2.92</v>
      </c>
      <c r="M94" s="44">
        <f>40+(worksheet!$F$17-40)*(worksheet!$J$11-3)/(worksheet!$F$14-3)</f>
        <v>61.17647058823529</v>
      </c>
      <c r="N94" s="44">
        <f t="shared" si="10"/>
        <v>0.43033333333333273</v>
      </c>
      <c r="O94" s="44">
        <f>1000*worksheet!$F$42*N94/worksheet!$F$52/worksheet!$F$9</f>
        <v>2.442474527121957</v>
      </c>
      <c r="P94" s="44">
        <f>worksheet!$F$9*O94/worksheet!$F$29/worksheet!$J$11</f>
        <v>9.0795604395604261</v>
      </c>
      <c r="Q94" s="44" t="str">
        <f t="shared" si="14"/>
        <v>DCM</v>
      </c>
      <c r="R94" s="44">
        <f t="shared" si="15"/>
        <v>61.17647058823529</v>
      </c>
      <c r="S94" s="44">
        <f>N94/worksheet!$F$52</f>
        <v>2.2068376068376039</v>
      </c>
      <c r="T94" s="44">
        <f>0.5*worksheet!$F$62/100*worksheet!$F$29*S94*P94*R94/1000*worksheet!$J$11</f>
        <v>61.136775143287913</v>
      </c>
    </row>
    <row r="95" spans="1:20">
      <c r="A95" s="44">
        <v>2.94</v>
      </c>
      <c r="B95" s="44">
        <f>40+(worksheet!$F$17-40)*(worksheet!$F$11-3)/(worksheet!$F$14-3)</f>
        <v>59.411764705882348</v>
      </c>
      <c r="C95" s="44">
        <f t="shared" si="9"/>
        <v>0.43399999999999939</v>
      </c>
      <c r="D95" s="44">
        <f>1000*worksheet!$F$42*C95/worksheet!$F$52/worksheet!$F$9</f>
        <v>2.4632856966016949</v>
      </c>
      <c r="E95" s="44">
        <f>worksheet!$F$9*D95/worksheet!$F$29/worksheet!$F$11</f>
        <v>9.8109890109889957</v>
      </c>
      <c r="F95" s="44" t="str">
        <f t="shared" si="11"/>
        <v>DCM</v>
      </c>
      <c r="G95" s="44">
        <f t="shared" si="12"/>
        <v>59.411764705882348</v>
      </c>
      <c r="H95" s="44">
        <f>C95/worksheet!$F$52</f>
        <v>2.2256410256410226</v>
      </c>
      <c r="I95" s="44">
        <f>0.5*worksheet!$F$62/100*worksheet!$F$29*H95*E95*G95/1000*worksheet!$F$11</f>
        <v>60.389306898711951</v>
      </c>
      <c r="J95" s="46">
        <f t="shared" si="13"/>
        <v>59.411764705882348</v>
      </c>
      <c r="L95" s="44">
        <v>2.94</v>
      </c>
      <c r="M95" s="44">
        <f>40+(worksheet!$F$17-40)*(worksheet!$J$11-3)/(worksheet!$F$14-3)</f>
        <v>61.17647058823529</v>
      </c>
      <c r="N95" s="44">
        <f t="shared" si="10"/>
        <v>0.43399999999999939</v>
      </c>
      <c r="O95" s="44">
        <f>1000*worksheet!$F$42*N95/worksheet!$F$52/worksheet!$F$9</f>
        <v>2.4632856966016949</v>
      </c>
      <c r="P95" s="44">
        <f>worksheet!$F$9*O95/worksheet!$F$29/worksheet!$J$11</f>
        <v>9.1569230769230625</v>
      </c>
      <c r="Q95" s="44" t="str">
        <f t="shared" si="14"/>
        <v>DCM</v>
      </c>
      <c r="R95" s="44">
        <f t="shared" si="15"/>
        <v>61.17647058823529</v>
      </c>
      <c r="S95" s="44">
        <f>N95/worksheet!$F$52</f>
        <v>2.2256410256410226</v>
      </c>
      <c r="T95" s="44">
        <f>0.5*worksheet!$F$62/100*worksheet!$F$29*S95*P95*R95/1000*worksheet!$J$11</f>
        <v>62.183048687782609</v>
      </c>
    </row>
    <row r="96" spans="1:20">
      <c r="A96" s="44">
        <v>2.96</v>
      </c>
      <c r="B96" s="44">
        <f>40+(worksheet!$F$17-40)*(worksheet!$F$11-3)/(worksheet!$F$14-3)</f>
        <v>59.411764705882348</v>
      </c>
      <c r="C96" s="44">
        <f t="shared" si="9"/>
        <v>0.43766666666666604</v>
      </c>
      <c r="D96" s="44">
        <f>1000*worksheet!$F$42*C96/worksheet!$F$52/worksheet!$F$9</f>
        <v>2.4840968660814324</v>
      </c>
      <c r="E96" s="44">
        <f>worksheet!$F$9*D96/worksheet!$F$29/worksheet!$F$11</f>
        <v>9.8938775510203918</v>
      </c>
      <c r="F96" s="44" t="str">
        <f t="shared" si="11"/>
        <v>DCM</v>
      </c>
      <c r="G96" s="44">
        <f t="shared" si="12"/>
        <v>59.411764705882348</v>
      </c>
      <c r="H96" s="44">
        <f>C96/worksheet!$F$52</f>
        <v>2.2444444444444414</v>
      </c>
      <c r="I96" s="44">
        <f>0.5*worksheet!$F$62/100*worksheet!$F$29*H96*E96*G96/1000*worksheet!$F$11</f>
        <v>61.414020392156665</v>
      </c>
      <c r="J96" s="46">
        <f t="shared" si="13"/>
        <v>59.411764705882348</v>
      </c>
      <c r="L96" s="44">
        <v>2.96</v>
      </c>
      <c r="M96" s="44">
        <f>40+(worksheet!$F$17-40)*(worksheet!$J$11-3)/(worksheet!$F$14-3)</f>
        <v>61.17647058823529</v>
      </c>
      <c r="N96" s="44">
        <f t="shared" si="10"/>
        <v>0.43766666666666604</v>
      </c>
      <c r="O96" s="44">
        <f>1000*worksheet!$F$42*N96/worksheet!$F$52/worksheet!$F$9</f>
        <v>2.4840968660814324</v>
      </c>
      <c r="P96" s="44">
        <f>worksheet!$F$9*O96/worksheet!$F$29/worksheet!$J$11</f>
        <v>9.2342857142856989</v>
      </c>
      <c r="Q96" s="44" t="str">
        <f t="shared" si="14"/>
        <v>DCM</v>
      </c>
      <c r="R96" s="44">
        <f t="shared" si="15"/>
        <v>61.17647058823529</v>
      </c>
      <c r="S96" s="44">
        <f>N96/worksheet!$F$52</f>
        <v>2.2444444444444414</v>
      </c>
      <c r="T96" s="44">
        <f>0.5*worksheet!$F$62/100*worksheet!$F$29*S96*P96*R96/1000*worksheet!$J$11</f>
        <v>63.238199215686073</v>
      </c>
    </row>
    <row r="97" spans="1:20">
      <c r="A97" s="44">
        <v>2.98</v>
      </c>
      <c r="B97" s="44">
        <f>40+(worksheet!$F$17-40)*(worksheet!$F$11-3)/(worksheet!$F$14-3)</f>
        <v>59.411764705882348</v>
      </c>
      <c r="C97" s="44">
        <f t="shared" si="9"/>
        <v>0.44133333333333269</v>
      </c>
      <c r="D97" s="44">
        <f>1000*worksheet!$F$42*C97/worksheet!$F$52/worksheet!$F$9</f>
        <v>2.5049080355611704</v>
      </c>
      <c r="E97" s="44">
        <f>worksheet!$F$9*D97/worksheet!$F$29/worksheet!$F$11</f>
        <v>9.9767660910517897</v>
      </c>
      <c r="F97" s="44" t="str">
        <f t="shared" si="11"/>
        <v>DCM</v>
      </c>
      <c r="G97" s="44">
        <f t="shared" si="12"/>
        <v>59.411764705882348</v>
      </c>
      <c r="H97" s="44">
        <f>C97/worksheet!$F$52</f>
        <v>2.2632478632478596</v>
      </c>
      <c r="I97" s="44">
        <f>0.5*worksheet!$F$62/100*worksheet!$F$29*H97*E97*G97/1000*worksheet!$F$11</f>
        <v>62.447354802181025</v>
      </c>
      <c r="J97" s="46">
        <f t="shared" si="13"/>
        <v>59.411764705882348</v>
      </c>
      <c r="L97" s="44">
        <v>2.98</v>
      </c>
      <c r="M97" s="44">
        <f>40+(worksheet!$F$17-40)*(worksheet!$J$11-3)/(worksheet!$F$14-3)</f>
        <v>61.17647058823529</v>
      </c>
      <c r="N97" s="44">
        <f t="shared" si="10"/>
        <v>0.44133333333333269</v>
      </c>
      <c r="O97" s="44">
        <f>1000*worksheet!$F$42*N97/worksheet!$F$52/worksheet!$F$9</f>
        <v>2.5049080355611704</v>
      </c>
      <c r="P97" s="44">
        <f>worksheet!$F$9*O97/worksheet!$F$29/worksheet!$J$11</f>
        <v>9.311648351648337</v>
      </c>
      <c r="Q97" s="44" t="str">
        <f t="shared" si="14"/>
        <v>DCM</v>
      </c>
      <c r="R97" s="44">
        <f t="shared" si="15"/>
        <v>61.17647058823529</v>
      </c>
      <c r="S97" s="44">
        <f>N97/worksheet!$F$52</f>
        <v>2.2632478632478596</v>
      </c>
      <c r="T97" s="44">
        <f>0.5*worksheet!$F$62/100*worksheet!$F$29*S97*P97*R97/1000*worksheet!$J$11</f>
        <v>64.302226726998271</v>
      </c>
    </row>
    <row r="98" spans="1:20">
      <c r="A98" s="44">
        <v>3</v>
      </c>
      <c r="B98" s="44">
        <f>40+(worksheet!$F$17-40)*(worksheet!$F$11-3)/(worksheet!$F$14-3)</f>
        <v>59.411764705882348</v>
      </c>
      <c r="C98" s="44">
        <f t="shared" si="9"/>
        <v>0.44499999999999934</v>
      </c>
      <c r="D98" s="44">
        <f>1000*worksheet!$F$42*C98/worksheet!$F$52/worksheet!$F$9</f>
        <v>2.5257192050409083</v>
      </c>
      <c r="E98" s="44">
        <f>worksheet!$F$9*D98/worksheet!$F$29/worksheet!$F$11</f>
        <v>10.059654631083188</v>
      </c>
      <c r="F98" s="44" t="str">
        <f t="shared" si="11"/>
        <v>DCM</v>
      </c>
      <c r="G98" s="44">
        <f t="shared" si="12"/>
        <v>59.411764705882348</v>
      </c>
      <c r="H98" s="44">
        <f>C98/worksheet!$F$52</f>
        <v>2.2820512820512784</v>
      </c>
      <c r="I98" s="44">
        <f>0.5*worksheet!$F$62/100*worksheet!$F$29*H98*E98*G98/1000*worksheet!$F$11</f>
        <v>63.489310128785029</v>
      </c>
      <c r="J98" s="46">
        <f t="shared" si="13"/>
        <v>59.411764705882348</v>
      </c>
      <c r="L98" s="44">
        <v>3</v>
      </c>
      <c r="M98" s="44">
        <f>40+(worksheet!$F$17-40)*(worksheet!$J$11-3)/(worksheet!$F$14-3)</f>
        <v>61.17647058823529</v>
      </c>
      <c r="N98" s="44">
        <f t="shared" si="10"/>
        <v>0.44499999999999934</v>
      </c>
      <c r="O98" s="44">
        <f>1000*worksheet!$F$42*N98/worksheet!$F$52/worksheet!$F$9</f>
        <v>2.5257192050409083</v>
      </c>
      <c r="P98" s="44">
        <f>worksheet!$F$9*O98/worksheet!$F$29/worksheet!$J$11</f>
        <v>9.3890109890109752</v>
      </c>
      <c r="Q98" s="44" t="str">
        <f t="shared" si="14"/>
        <v>DCM</v>
      </c>
      <c r="R98" s="44">
        <f t="shared" si="15"/>
        <v>61.17647058823529</v>
      </c>
      <c r="S98" s="44">
        <f>N98/worksheet!$F$52</f>
        <v>2.2820512820512784</v>
      </c>
      <c r="T98" s="44">
        <f>0.5*worksheet!$F$62/100*worksheet!$F$29*S98*P98*R98/1000*worksheet!$J$11</f>
        <v>65.375131221719244</v>
      </c>
    </row>
    <row r="99" spans="1:20">
      <c r="A99" s="44">
        <v>3.02</v>
      </c>
      <c r="B99" s="44">
        <f>40+(worksheet!$F$17-40)*(worksheet!$F$11-3)/(worksheet!$F$14-3)</f>
        <v>59.411764705882348</v>
      </c>
      <c r="C99" s="44">
        <f t="shared" si="9"/>
        <v>0.44866666666666599</v>
      </c>
      <c r="D99" s="44">
        <f>1000*worksheet!$F$42*C99/worksheet!$F$52/worksheet!$F$9</f>
        <v>2.5465303745206458</v>
      </c>
      <c r="E99" s="44">
        <f>worksheet!$F$9*D99/worksheet!$F$29/worksheet!$F$11</f>
        <v>10.142543171114584</v>
      </c>
      <c r="F99" s="44" t="str">
        <f t="shared" si="11"/>
        <v>DCM</v>
      </c>
      <c r="G99" s="44">
        <f t="shared" si="12"/>
        <v>59.411764705882348</v>
      </c>
      <c r="H99" s="44">
        <f>C99/worksheet!$F$52</f>
        <v>2.3008547008546971</v>
      </c>
      <c r="I99" s="44">
        <f>0.5*worksheet!$F$62/100*worksheet!$F$29*H99*E99*G99/1000*worksheet!$F$11</f>
        <v>64.539886371968677</v>
      </c>
      <c r="J99" s="46">
        <f t="shared" si="13"/>
        <v>59.411764705882348</v>
      </c>
      <c r="L99" s="44">
        <v>3.02</v>
      </c>
      <c r="M99" s="44">
        <f>40+(worksheet!$F$17-40)*(worksheet!$J$11-3)/(worksheet!$F$14-3)</f>
        <v>61.17647058823529</v>
      </c>
      <c r="N99" s="44">
        <f t="shared" si="10"/>
        <v>0.44866666666666599</v>
      </c>
      <c r="O99" s="44">
        <f>1000*worksheet!$F$42*N99/worksheet!$F$52/worksheet!$F$9</f>
        <v>2.5465303745206458</v>
      </c>
      <c r="P99" s="44">
        <f>worksheet!$F$9*O99/worksheet!$F$29/worksheet!$J$11</f>
        <v>9.4663736263736116</v>
      </c>
      <c r="Q99" s="44" t="str">
        <f t="shared" si="14"/>
        <v>DCM</v>
      </c>
      <c r="R99" s="44">
        <f t="shared" si="15"/>
        <v>61.17647058823529</v>
      </c>
      <c r="S99" s="44">
        <f>N99/worksheet!$F$52</f>
        <v>2.3008547008546971</v>
      </c>
      <c r="T99" s="44">
        <f>0.5*worksheet!$F$62/100*worksheet!$F$29*S99*P99*R99/1000*worksheet!$J$11</f>
        <v>66.456912699848928</v>
      </c>
    </row>
    <row r="100" spans="1:20">
      <c r="A100" s="44">
        <v>3.04</v>
      </c>
      <c r="B100" s="44">
        <f>40+(worksheet!$F$17-40)*(worksheet!$F$11-3)/(worksheet!$F$14-3)</f>
        <v>59.411764705882348</v>
      </c>
      <c r="C100" s="44">
        <f t="shared" si="9"/>
        <v>0.45233333333333264</v>
      </c>
      <c r="D100" s="44">
        <f>1000*worksheet!$F$42*C100/worksheet!$F$52/worksheet!$F$9</f>
        <v>2.5673415440003837</v>
      </c>
      <c r="E100" s="44">
        <f>worksheet!$F$9*D100/worksheet!$F$29/worksheet!$F$11</f>
        <v>10.225431711145982</v>
      </c>
      <c r="F100" s="44" t="str">
        <f t="shared" si="11"/>
        <v>DCM</v>
      </c>
      <c r="G100" s="44">
        <f t="shared" si="12"/>
        <v>59.411764705882348</v>
      </c>
      <c r="H100" s="44">
        <f>C100/worksheet!$F$52</f>
        <v>2.3196581196581159</v>
      </c>
      <c r="I100" s="44">
        <f>0.5*worksheet!$F$62/100*worksheet!$F$29*H100*E100*G100/1000*worksheet!$F$11</f>
        <v>65.599083531731992</v>
      </c>
      <c r="J100" s="46">
        <f t="shared" si="13"/>
        <v>59.411764705882348</v>
      </c>
      <c r="L100" s="44">
        <v>3.04</v>
      </c>
      <c r="M100" s="44">
        <f>40+(worksheet!$F$17-40)*(worksheet!$J$11-3)/(worksheet!$F$14-3)</f>
        <v>61.17647058823529</v>
      </c>
      <c r="N100" s="44">
        <f t="shared" si="10"/>
        <v>0.45233333333333264</v>
      </c>
      <c r="O100" s="44">
        <f>1000*worksheet!$F$42*N100/worksheet!$F$52/worksheet!$F$9</f>
        <v>2.5673415440003837</v>
      </c>
      <c r="P100" s="44">
        <f>worksheet!$F$9*O100/worksheet!$F$29/worksheet!$J$11</f>
        <v>9.5437362637362479</v>
      </c>
      <c r="Q100" s="44" t="str">
        <f t="shared" si="14"/>
        <v>DCM</v>
      </c>
      <c r="R100" s="44">
        <f t="shared" si="15"/>
        <v>61.17647058823529</v>
      </c>
      <c r="S100" s="44">
        <f>N100/worksheet!$F$52</f>
        <v>2.3196581196581159</v>
      </c>
      <c r="T100" s="44">
        <f>0.5*worksheet!$F$62/100*worksheet!$F$29*S100*P100*R100/1000*worksheet!$J$11</f>
        <v>67.547571161387395</v>
      </c>
    </row>
    <row r="101" spans="1:20">
      <c r="A101" s="44">
        <v>3.06</v>
      </c>
      <c r="B101" s="44">
        <f>40+(worksheet!$F$17-40)*(worksheet!$F$11-3)/(worksheet!$F$14-3)</f>
        <v>59.411764705882348</v>
      </c>
      <c r="C101" s="44">
        <f t="shared" si="9"/>
        <v>0.45599999999999929</v>
      </c>
      <c r="D101" s="44">
        <f>1000*worksheet!$F$42*C101/worksheet!$F$52/worksheet!$F$9</f>
        <v>2.5881527134801217</v>
      </c>
      <c r="E101" s="44">
        <f>worksheet!$F$9*D101/worksheet!$F$29/worksheet!$F$11</f>
        <v>10.308320251177378</v>
      </c>
      <c r="F101" s="44" t="str">
        <f t="shared" si="11"/>
        <v>DCM</v>
      </c>
      <c r="G101" s="44">
        <f t="shared" si="12"/>
        <v>59.411764705882348</v>
      </c>
      <c r="H101" s="44">
        <f>C101/worksheet!$F$52</f>
        <v>2.3384615384615346</v>
      </c>
      <c r="I101" s="44">
        <f>0.5*worksheet!$F$62/100*worksheet!$F$29*H101*E101*G101/1000*worksheet!$F$11</f>
        <v>66.666901608074937</v>
      </c>
      <c r="J101" s="46">
        <f t="shared" si="13"/>
        <v>59.411764705882348</v>
      </c>
      <c r="L101" s="44">
        <v>3.06</v>
      </c>
      <c r="M101" s="44">
        <f>40+(worksheet!$F$17-40)*(worksheet!$J$11-3)/(worksheet!$F$14-3)</f>
        <v>61.17647058823529</v>
      </c>
      <c r="N101" s="44">
        <f t="shared" si="10"/>
        <v>0.45599999999999929</v>
      </c>
      <c r="O101" s="44">
        <f>1000*worksheet!$F$42*N101/worksheet!$F$52/worksheet!$F$9</f>
        <v>2.5881527134801217</v>
      </c>
      <c r="P101" s="44">
        <f>worksheet!$F$9*O101/worksheet!$F$29/worksheet!$J$11</f>
        <v>9.6210989010988861</v>
      </c>
      <c r="Q101" s="44" t="str">
        <f t="shared" si="14"/>
        <v>DCM</v>
      </c>
      <c r="R101" s="44">
        <f t="shared" si="15"/>
        <v>61.17647058823529</v>
      </c>
      <c r="S101" s="44">
        <f>N101/worksheet!$F$52</f>
        <v>2.3384615384615346</v>
      </c>
      <c r="T101" s="44">
        <f>0.5*worksheet!$F$62/100*worksheet!$F$29*S101*P101*R101/1000*worksheet!$J$11</f>
        <v>68.647106606334617</v>
      </c>
    </row>
    <row r="102" spans="1:20">
      <c r="A102" s="44">
        <v>3.08</v>
      </c>
      <c r="B102" s="44">
        <f>40+(worksheet!$F$17-40)*(worksheet!$F$11-3)/(worksheet!$F$14-3)</f>
        <v>59.411764705882348</v>
      </c>
      <c r="C102" s="44">
        <f t="shared" si="9"/>
        <v>0.45966666666666595</v>
      </c>
      <c r="D102" s="44">
        <f>1000*worksheet!$F$42*C102/worksheet!$F$52/worksheet!$F$9</f>
        <v>2.6089638829598591</v>
      </c>
      <c r="E102" s="44">
        <f>worksheet!$F$9*D102/worksheet!$F$29/worksheet!$F$11</f>
        <v>10.391208791208772</v>
      </c>
      <c r="F102" s="44" t="str">
        <f t="shared" si="11"/>
        <v>DCM</v>
      </c>
      <c r="G102" s="44">
        <f t="shared" si="12"/>
        <v>59.411764705882348</v>
      </c>
      <c r="H102" s="44">
        <f>C102/worksheet!$F$52</f>
        <v>2.3572649572649533</v>
      </c>
      <c r="I102" s="44">
        <f>0.5*worksheet!$F$62/100*worksheet!$F$29*H102*E102*G102/1000*worksheet!$F$11</f>
        <v>67.743340600997541</v>
      </c>
      <c r="J102" s="46">
        <f t="shared" si="13"/>
        <v>59.411764705882348</v>
      </c>
      <c r="L102" s="44">
        <v>3.08</v>
      </c>
      <c r="M102" s="44">
        <f>40+(worksheet!$F$17-40)*(worksheet!$J$11-3)/(worksheet!$F$14-3)</f>
        <v>61.17647058823529</v>
      </c>
      <c r="N102" s="44">
        <f t="shared" si="10"/>
        <v>0.45966666666666595</v>
      </c>
      <c r="O102" s="44">
        <f>1000*worksheet!$F$42*N102/worksheet!$F$52/worksheet!$F$9</f>
        <v>2.6089638829598591</v>
      </c>
      <c r="P102" s="44">
        <f>worksheet!$F$9*O102/worksheet!$F$29/worksheet!$J$11</f>
        <v>9.6984615384615207</v>
      </c>
      <c r="Q102" s="44" t="str">
        <f t="shared" si="14"/>
        <v>DCM</v>
      </c>
      <c r="R102" s="44">
        <f t="shared" si="15"/>
        <v>61.17647058823529</v>
      </c>
      <c r="S102" s="44">
        <f>N102/worksheet!$F$52</f>
        <v>2.3572649572649533</v>
      </c>
      <c r="T102" s="44">
        <f>0.5*worksheet!$F$62/100*worksheet!$F$29*S102*P102*R102/1000*worksheet!$J$11</f>
        <v>69.75551903469055</v>
      </c>
    </row>
    <row r="103" spans="1:20">
      <c r="A103" s="44">
        <v>3.1</v>
      </c>
      <c r="B103" s="44">
        <f>40+(worksheet!$F$17-40)*(worksheet!$F$11-3)/(worksheet!$F$14-3)</f>
        <v>59.411764705882348</v>
      </c>
      <c r="C103" s="44">
        <f t="shared" si="9"/>
        <v>0.4633333333333326</v>
      </c>
      <c r="D103" s="44">
        <f>1000*worksheet!$F$42*C103/worksheet!$F$52/worksheet!$F$9</f>
        <v>2.6297750524395971</v>
      </c>
      <c r="E103" s="44">
        <f>worksheet!$F$9*D103/worksheet!$F$29/worksheet!$F$11</f>
        <v>10.474097331240172</v>
      </c>
      <c r="F103" s="44" t="str">
        <f t="shared" si="11"/>
        <v>DCM</v>
      </c>
      <c r="G103" s="44">
        <f t="shared" si="12"/>
        <v>59.411764705882348</v>
      </c>
      <c r="H103" s="44">
        <f>C103/worksheet!$F$52</f>
        <v>2.3760683760683721</v>
      </c>
      <c r="I103" s="44">
        <f>0.5*worksheet!$F$62/100*worksheet!$F$29*H103*E103*G103/1000*worksheet!$F$11</f>
        <v>68.828400510499819</v>
      </c>
      <c r="J103" s="46">
        <f t="shared" si="13"/>
        <v>59.411764705882348</v>
      </c>
      <c r="L103" s="44">
        <v>3.1</v>
      </c>
      <c r="M103" s="44">
        <f>40+(worksheet!$F$17-40)*(worksheet!$J$11-3)/(worksheet!$F$14-3)</f>
        <v>61.17647058823529</v>
      </c>
      <c r="N103" s="44">
        <f t="shared" si="10"/>
        <v>0.4633333333333326</v>
      </c>
      <c r="O103" s="44">
        <f>1000*worksheet!$F$42*N103/worksheet!$F$52/worksheet!$F$9</f>
        <v>2.6297750524395971</v>
      </c>
      <c r="P103" s="44">
        <f>worksheet!$F$9*O103/worksheet!$F$29/worksheet!$J$11</f>
        <v>9.7758241758241606</v>
      </c>
      <c r="Q103" s="44" t="str">
        <f t="shared" si="14"/>
        <v>DCM</v>
      </c>
      <c r="R103" s="44">
        <f t="shared" si="15"/>
        <v>61.17647058823529</v>
      </c>
      <c r="S103" s="44">
        <f>N103/worksheet!$F$52</f>
        <v>2.3760683760683721</v>
      </c>
      <c r="T103" s="44">
        <f>0.5*worksheet!$F$62/100*worksheet!$F$29*S103*P103*R103/1000*worksheet!$J$11</f>
        <v>70.872808446455267</v>
      </c>
    </row>
    <row r="104" spans="1:20">
      <c r="A104" s="44">
        <v>3.12</v>
      </c>
      <c r="B104" s="44">
        <f>40+(worksheet!$F$17-40)*(worksheet!$F$11-3)/(worksheet!$F$14-3)</f>
        <v>59.411764705882348</v>
      </c>
      <c r="C104" s="44">
        <f t="shared" si="9"/>
        <v>0.46699999999999925</v>
      </c>
      <c r="D104" s="44">
        <f>1000*worksheet!$F$42*C104/worksheet!$F$52/worksheet!$F$9</f>
        <v>2.650586221919335</v>
      </c>
      <c r="E104" s="44">
        <f>worksheet!$F$9*D104/worksheet!$F$29/worksheet!$F$11</f>
        <v>10.556985871271568</v>
      </c>
      <c r="F104" s="44" t="str">
        <f t="shared" si="11"/>
        <v>DCM</v>
      </c>
      <c r="G104" s="44">
        <f t="shared" si="12"/>
        <v>59.411764705882348</v>
      </c>
      <c r="H104" s="44">
        <f>C104/worksheet!$F$52</f>
        <v>2.3948717948717908</v>
      </c>
      <c r="I104" s="44">
        <f>0.5*worksheet!$F$62/100*worksheet!$F$29*H104*E104*G104/1000*worksheet!$F$11</f>
        <v>69.922081336581726</v>
      </c>
      <c r="J104" s="46">
        <f t="shared" si="13"/>
        <v>59.411764705882348</v>
      </c>
      <c r="L104" s="44">
        <v>3.12</v>
      </c>
      <c r="M104" s="44">
        <f>40+(worksheet!$F$17-40)*(worksheet!$J$11-3)/(worksheet!$F$14-3)</f>
        <v>61.17647058823529</v>
      </c>
      <c r="N104" s="44">
        <f t="shared" si="10"/>
        <v>0.46699999999999925</v>
      </c>
      <c r="O104" s="44">
        <f>1000*worksheet!$F$42*N104/worksheet!$F$52/worksheet!$F$9</f>
        <v>2.650586221919335</v>
      </c>
      <c r="P104" s="44">
        <f>worksheet!$F$9*O104/worksheet!$F$29/worksheet!$J$11</f>
        <v>9.853186813186797</v>
      </c>
      <c r="Q104" s="44" t="str">
        <f t="shared" si="14"/>
        <v>DCM</v>
      </c>
      <c r="R104" s="44">
        <f t="shared" si="15"/>
        <v>61.17647058823529</v>
      </c>
      <c r="S104" s="44">
        <f>N104/worksheet!$F$52</f>
        <v>2.3948717948717908</v>
      </c>
      <c r="T104" s="44">
        <f>0.5*worksheet!$F$62/100*worksheet!$F$29*S104*P104*R104/1000*worksheet!$J$11</f>
        <v>71.998974841628709</v>
      </c>
    </row>
    <row r="105" spans="1:20">
      <c r="A105" s="44">
        <v>3.14</v>
      </c>
      <c r="B105" s="44">
        <f>40+(worksheet!$F$17-40)*(worksheet!$F$11-3)/(worksheet!$F$14-3)</f>
        <v>59.411764705882348</v>
      </c>
      <c r="C105" s="44">
        <f t="shared" si="9"/>
        <v>0.4706666666666659</v>
      </c>
      <c r="D105" s="44">
        <f>1000*worksheet!$F$42*C105/worksheet!$F$52/worksheet!$F$9</f>
        <v>2.671397391399073</v>
      </c>
      <c r="E105" s="44">
        <f>worksheet!$F$9*D105/worksheet!$F$29/worksheet!$F$11</f>
        <v>10.639874411302966</v>
      </c>
      <c r="F105" s="44" t="str">
        <f t="shared" si="11"/>
        <v>DCM</v>
      </c>
      <c r="G105" s="44">
        <f t="shared" si="12"/>
        <v>59.411764705882348</v>
      </c>
      <c r="H105" s="44">
        <f>C105/worksheet!$F$52</f>
        <v>2.4136752136752095</v>
      </c>
      <c r="I105" s="44">
        <f>0.5*worksheet!$F$62/100*worksheet!$F$29*H105*E105*G105/1000*worksheet!$F$11</f>
        <v>71.024383079243279</v>
      </c>
      <c r="J105" s="46">
        <f t="shared" si="13"/>
        <v>59.411764705882348</v>
      </c>
      <c r="L105" s="44">
        <v>3.14</v>
      </c>
      <c r="M105" s="44">
        <f>40+(worksheet!$F$17-40)*(worksheet!$J$11-3)/(worksheet!$F$14-3)</f>
        <v>61.17647058823529</v>
      </c>
      <c r="N105" s="44">
        <f t="shared" si="10"/>
        <v>0.4706666666666659</v>
      </c>
      <c r="O105" s="44">
        <f>1000*worksheet!$F$42*N105/worksheet!$F$52/worksheet!$F$9</f>
        <v>2.671397391399073</v>
      </c>
      <c r="P105" s="44">
        <f>worksheet!$F$9*O105/worksheet!$F$29/worksheet!$J$11</f>
        <v>9.9305494505494334</v>
      </c>
      <c r="Q105" s="44" t="str">
        <f t="shared" si="14"/>
        <v>DCM</v>
      </c>
      <c r="R105" s="44">
        <f t="shared" si="15"/>
        <v>61.17647058823529</v>
      </c>
      <c r="S105" s="44">
        <f>N105/worksheet!$F$52</f>
        <v>2.4136752136752095</v>
      </c>
      <c r="T105" s="44">
        <f>0.5*worksheet!$F$62/100*worksheet!$F$29*S105*P105*R105/1000*worksheet!$J$11</f>
        <v>73.134018220210891</v>
      </c>
    </row>
    <row r="106" spans="1:20">
      <c r="A106" s="44">
        <v>3.16</v>
      </c>
      <c r="B106" s="44">
        <f>40+(worksheet!$F$17-40)*(worksheet!$F$11-3)/(worksheet!$F$14-3)</f>
        <v>59.411764705882348</v>
      </c>
      <c r="C106" s="44">
        <f t="shared" si="9"/>
        <v>0.47433333333333255</v>
      </c>
      <c r="D106" s="44">
        <f>1000*worksheet!$F$42*C106/worksheet!$F$52/worksheet!$F$9</f>
        <v>2.69220856087881</v>
      </c>
      <c r="E106" s="44">
        <f>worksheet!$F$9*D106/worksheet!$F$29/worksheet!$F$11</f>
        <v>10.72276295133436</v>
      </c>
      <c r="F106" s="44" t="str">
        <f t="shared" si="11"/>
        <v>DCM</v>
      </c>
      <c r="G106" s="44">
        <f t="shared" si="12"/>
        <v>59.411764705882348</v>
      </c>
      <c r="H106" s="44">
        <f>C106/worksheet!$F$52</f>
        <v>2.4324786324786283</v>
      </c>
      <c r="I106" s="44">
        <f>0.5*worksheet!$F$62/100*worksheet!$F$29*H106*E106*G106/1000*worksheet!$F$11</f>
        <v>72.135305738484476</v>
      </c>
      <c r="J106" s="46">
        <f t="shared" si="13"/>
        <v>59.411764705882348</v>
      </c>
      <c r="L106" s="44">
        <v>3.16</v>
      </c>
      <c r="M106" s="44">
        <f>40+(worksheet!$F$17-40)*(worksheet!$J$11-3)/(worksheet!$F$14-3)</f>
        <v>61.17647058823529</v>
      </c>
      <c r="N106" s="44">
        <f t="shared" si="10"/>
        <v>0.47433333333333255</v>
      </c>
      <c r="O106" s="44">
        <f>1000*worksheet!$F$42*N106/worksheet!$F$52/worksheet!$F$9</f>
        <v>2.69220856087881</v>
      </c>
      <c r="P106" s="44">
        <f>worksheet!$F$9*O106/worksheet!$F$29/worksheet!$J$11</f>
        <v>10.00791208791207</v>
      </c>
      <c r="Q106" s="44" t="str">
        <f t="shared" si="14"/>
        <v>DCM</v>
      </c>
      <c r="R106" s="44">
        <f t="shared" si="15"/>
        <v>61.17647058823529</v>
      </c>
      <c r="S106" s="44">
        <f>N106/worksheet!$F$52</f>
        <v>2.4324786324786283</v>
      </c>
      <c r="T106" s="44">
        <f>0.5*worksheet!$F$62/100*worksheet!$F$29*S106*P106*R106/1000*worksheet!$J$11</f>
        <v>74.277938582201827</v>
      </c>
    </row>
    <row r="107" spans="1:20">
      <c r="A107" s="44">
        <v>3.18</v>
      </c>
      <c r="B107" s="44">
        <f>40+(worksheet!$F$17-40)*(worksheet!$F$11-3)/(worksheet!$F$14-3)</f>
        <v>59.411764705882348</v>
      </c>
      <c r="C107" s="44">
        <f t="shared" si="9"/>
        <v>0.4779999999999992</v>
      </c>
      <c r="D107" s="44">
        <f>1000*worksheet!$F$42*C107/worksheet!$F$52/worksheet!$F$9</f>
        <v>2.7130197303585479</v>
      </c>
      <c r="E107" s="44">
        <f>worksheet!$F$9*D107/worksheet!$F$29/worksheet!$F$11</f>
        <v>10.80565149136576</v>
      </c>
      <c r="F107" s="44" t="str">
        <f t="shared" si="11"/>
        <v>DCM</v>
      </c>
      <c r="G107" s="44">
        <f t="shared" si="12"/>
        <v>59.411764705882348</v>
      </c>
      <c r="H107" s="44">
        <f>C107/worksheet!$F$52</f>
        <v>2.451282051282047</v>
      </c>
      <c r="I107" s="44">
        <f>0.5*worksheet!$F$62/100*worksheet!$F$29*H107*E107*G107/1000*worksheet!$F$11</f>
        <v>73.254849314305332</v>
      </c>
      <c r="J107" s="46">
        <f t="shared" si="13"/>
        <v>59.411764705882348</v>
      </c>
      <c r="L107" s="44">
        <v>3.18</v>
      </c>
      <c r="M107" s="44">
        <f>40+(worksheet!$F$17-40)*(worksheet!$J$11-3)/(worksheet!$F$14-3)</f>
        <v>61.17647058823529</v>
      </c>
      <c r="N107" s="44">
        <f t="shared" si="10"/>
        <v>0.4779999999999992</v>
      </c>
      <c r="O107" s="44">
        <f>1000*worksheet!$F$42*N107/worksheet!$F$52/worksheet!$F$9</f>
        <v>2.7130197303585479</v>
      </c>
      <c r="P107" s="44">
        <f>worksheet!$F$9*O107/worksheet!$F$29/worksheet!$J$11</f>
        <v>10.085274725274708</v>
      </c>
      <c r="Q107" s="44" t="str">
        <f t="shared" si="14"/>
        <v>DCM</v>
      </c>
      <c r="R107" s="44">
        <f t="shared" si="15"/>
        <v>61.17647058823529</v>
      </c>
      <c r="S107" s="44">
        <f>N107/worksheet!$F$52</f>
        <v>2.451282051282047</v>
      </c>
      <c r="T107" s="44">
        <f>0.5*worksheet!$F$62/100*worksheet!$F$29*S107*P107*R107/1000*worksheet!$J$11</f>
        <v>75.430735927601532</v>
      </c>
    </row>
    <row r="108" spans="1:20">
      <c r="A108" s="44">
        <v>3.2</v>
      </c>
      <c r="B108" s="44">
        <f>40+(worksheet!$F$17-40)*(worksheet!$F$11-3)/(worksheet!$F$14-3)</f>
        <v>59.411764705882348</v>
      </c>
      <c r="C108" s="44">
        <f t="shared" si="9"/>
        <v>0.48166666666666585</v>
      </c>
      <c r="D108" s="44">
        <f>1000*worksheet!$F$42*C108/worksheet!$F$52/worksheet!$F$9</f>
        <v>2.7338308998382859</v>
      </c>
      <c r="E108" s="44">
        <f>worksheet!$F$9*D108/worksheet!$F$29/worksheet!$F$11</f>
        <v>10.888540031397156</v>
      </c>
      <c r="F108" s="44" t="str">
        <f t="shared" si="11"/>
        <v>DCM</v>
      </c>
      <c r="G108" s="44">
        <f t="shared" si="12"/>
        <v>59.411764705882348</v>
      </c>
      <c r="H108" s="44">
        <f>C108/worksheet!$F$52</f>
        <v>2.4700854700854658</v>
      </c>
      <c r="I108" s="44">
        <f>0.5*worksheet!$F$62/100*worksheet!$F$29*H108*E108*G108/1000*worksheet!$F$11</f>
        <v>74.383013806705847</v>
      </c>
      <c r="J108" s="46">
        <f t="shared" si="13"/>
        <v>59.411764705882348</v>
      </c>
      <c r="L108" s="44">
        <v>3.2</v>
      </c>
      <c r="M108" s="44">
        <f>40+(worksheet!$F$17-40)*(worksheet!$J$11-3)/(worksheet!$F$14-3)</f>
        <v>61.17647058823529</v>
      </c>
      <c r="N108" s="44">
        <f t="shared" si="10"/>
        <v>0.48166666666666585</v>
      </c>
      <c r="O108" s="44">
        <f>1000*worksheet!$F$42*N108/worksheet!$F$52/worksheet!$F$9</f>
        <v>2.7338308998382859</v>
      </c>
      <c r="P108" s="44">
        <f>worksheet!$F$9*O108/worksheet!$F$29/worksheet!$J$11</f>
        <v>10.162637362637346</v>
      </c>
      <c r="Q108" s="44" t="str">
        <f t="shared" si="14"/>
        <v>DCM</v>
      </c>
      <c r="R108" s="44">
        <f t="shared" si="15"/>
        <v>61.17647058823529</v>
      </c>
      <c r="S108" s="44">
        <f>N108/worksheet!$F$52</f>
        <v>2.4700854700854658</v>
      </c>
      <c r="T108" s="44">
        <f>0.5*worksheet!$F$62/100*worksheet!$F$29*S108*P108*R108/1000*worksheet!$J$11</f>
        <v>76.592410256409991</v>
      </c>
    </row>
    <row r="109" spans="1:20">
      <c r="A109" s="44">
        <v>3.22</v>
      </c>
      <c r="B109" s="44">
        <f>40+(worksheet!$F$17-40)*(worksheet!$F$11-3)/(worksheet!$F$14-3)</f>
        <v>59.411764705882348</v>
      </c>
      <c r="C109" s="44">
        <f t="shared" si="9"/>
        <v>0.48533333333333251</v>
      </c>
      <c r="D109" s="44">
        <f>1000*worksheet!$F$42*C109/worksheet!$F$52/worksheet!$F$9</f>
        <v>2.7546420693180238</v>
      </c>
      <c r="E109" s="44">
        <f>worksheet!$F$9*D109/worksheet!$F$29/worksheet!$F$11</f>
        <v>10.971428571428552</v>
      </c>
      <c r="F109" s="44" t="str">
        <f t="shared" si="11"/>
        <v>DCM</v>
      </c>
      <c r="G109" s="44">
        <f t="shared" si="12"/>
        <v>59.411764705882348</v>
      </c>
      <c r="H109" s="44">
        <f>C109/worksheet!$F$52</f>
        <v>2.4888888888888845</v>
      </c>
      <c r="I109" s="44">
        <f>0.5*worksheet!$F$62/100*worksheet!$F$29*H109*E109*G109/1000*worksheet!$F$11</f>
        <v>75.519799215685993</v>
      </c>
      <c r="J109" s="46">
        <f t="shared" si="13"/>
        <v>59.411764705882348</v>
      </c>
      <c r="L109" s="44">
        <v>3.22</v>
      </c>
      <c r="M109" s="44">
        <f>40+(worksheet!$F$17-40)*(worksheet!$J$11-3)/(worksheet!$F$14-3)</f>
        <v>61.17647058823529</v>
      </c>
      <c r="N109" s="44">
        <f t="shared" si="10"/>
        <v>0.48533333333333251</v>
      </c>
      <c r="O109" s="44">
        <f>1000*worksheet!$F$42*N109/worksheet!$F$52/worksheet!$F$9</f>
        <v>2.7546420693180238</v>
      </c>
      <c r="P109" s="44">
        <f>worksheet!$F$9*O109/worksheet!$F$29/worksheet!$J$11</f>
        <v>10.239999999999982</v>
      </c>
      <c r="Q109" s="44" t="str">
        <f t="shared" si="14"/>
        <v>DCM</v>
      </c>
      <c r="R109" s="44">
        <f t="shared" si="15"/>
        <v>61.17647058823529</v>
      </c>
      <c r="S109" s="44">
        <f>N109/worksheet!$F$52</f>
        <v>2.4888888888888845</v>
      </c>
      <c r="T109" s="44">
        <f>0.5*worksheet!$F$62/100*worksheet!$F$29*S109*P109*R109/1000*worksheet!$J$11</f>
        <v>77.762961568627162</v>
      </c>
    </row>
    <row r="110" spans="1:20">
      <c r="A110" s="44">
        <v>3.24</v>
      </c>
      <c r="B110" s="44">
        <f>40+(worksheet!$F$17-40)*(worksheet!$F$11-3)/(worksheet!$F$14-3)</f>
        <v>59.411764705882348</v>
      </c>
      <c r="C110" s="44">
        <f t="shared" si="9"/>
        <v>0.48899999999999916</v>
      </c>
      <c r="D110" s="44">
        <f>1000*worksheet!$F$42*C110/worksheet!$F$52/worksheet!$F$9</f>
        <v>2.7754532387977617</v>
      </c>
      <c r="E110" s="44">
        <f>worksheet!$F$9*D110/worksheet!$F$29/worksheet!$F$11</f>
        <v>11.054317111459952</v>
      </c>
      <c r="F110" s="44" t="str">
        <f t="shared" si="11"/>
        <v>DCM</v>
      </c>
      <c r="G110" s="44">
        <f t="shared" si="12"/>
        <v>59.411764705882348</v>
      </c>
      <c r="H110" s="44">
        <f>C110/worksheet!$F$52</f>
        <v>2.5076923076923032</v>
      </c>
      <c r="I110" s="44">
        <f>0.5*worksheet!$F$62/100*worksheet!$F$29*H110*E110*G110/1000*worksheet!$F$11</f>
        <v>76.665205541245825</v>
      </c>
      <c r="J110" s="46">
        <f t="shared" si="13"/>
        <v>59.411764705882348</v>
      </c>
      <c r="L110" s="44">
        <v>3.24</v>
      </c>
      <c r="M110" s="44">
        <f>40+(worksheet!$F$17-40)*(worksheet!$J$11-3)/(worksheet!$F$14-3)</f>
        <v>61.17647058823529</v>
      </c>
      <c r="N110" s="44">
        <f t="shared" si="10"/>
        <v>0.48899999999999916</v>
      </c>
      <c r="O110" s="44">
        <f>1000*worksheet!$F$42*N110/worksheet!$F$52/worksheet!$F$9</f>
        <v>2.7754532387977617</v>
      </c>
      <c r="P110" s="44">
        <f>worksheet!$F$9*O110/worksheet!$F$29/worksheet!$J$11</f>
        <v>10.317362637362622</v>
      </c>
      <c r="Q110" s="44" t="str">
        <f t="shared" si="14"/>
        <v>DCM</v>
      </c>
      <c r="R110" s="44">
        <f t="shared" si="15"/>
        <v>61.17647058823529</v>
      </c>
      <c r="S110" s="44">
        <f>N110/worksheet!$F$52</f>
        <v>2.5076923076923032</v>
      </c>
      <c r="T110" s="44">
        <f>0.5*worksheet!$F$62/100*worksheet!$F$29*S110*P110*R110/1000*worksheet!$J$11</f>
        <v>78.94238986425313</v>
      </c>
    </row>
    <row r="111" spans="1:20">
      <c r="A111" s="44">
        <v>3.26</v>
      </c>
      <c r="B111" s="44">
        <f>40+(worksheet!$F$17-40)*(worksheet!$F$11-3)/(worksheet!$F$14-3)</f>
        <v>59.411764705882348</v>
      </c>
      <c r="C111" s="44">
        <f t="shared" si="9"/>
        <v>0.49266666666666581</v>
      </c>
      <c r="D111" s="44">
        <f>1000*worksheet!$F$42*C111/worksheet!$F$52/worksheet!$F$9</f>
        <v>2.7962644082774992</v>
      </c>
      <c r="E111" s="44">
        <f>worksheet!$F$9*D111/worksheet!$F$29/worksheet!$F$11</f>
        <v>11.137205651491346</v>
      </c>
      <c r="F111" s="44" t="str">
        <f t="shared" si="11"/>
        <v>DCM</v>
      </c>
      <c r="G111" s="44">
        <f t="shared" si="12"/>
        <v>59.411764705882348</v>
      </c>
      <c r="H111" s="44">
        <f>C111/worksheet!$F$52</f>
        <v>2.526495726495722</v>
      </c>
      <c r="I111" s="44">
        <f>0.5*worksheet!$F$62/100*worksheet!$F$29*H111*E111*G111/1000*worksheet!$F$11</f>
        <v>77.819232783385246</v>
      </c>
      <c r="J111" s="46">
        <f t="shared" si="13"/>
        <v>59.411764705882348</v>
      </c>
      <c r="L111" s="44">
        <v>3.26</v>
      </c>
      <c r="M111" s="44">
        <f>40+(worksheet!$F$17-40)*(worksheet!$J$11-3)/(worksheet!$F$14-3)</f>
        <v>61.17647058823529</v>
      </c>
      <c r="N111" s="44">
        <f t="shared" si="10"/>
        <v>0.49266666666666581</v>
      </c>
      <c r="O111" s="44">
        <f>1000*worksheet!$F$42*N111/worksheet!$F$52/worksheet!$F$9</f>
        <v>2.7962644082774992</v>
      </c>
      <c r="P111" s="44">
        <f>worksheet!$F$9*O111/worksheet!$F$29/worksheet!$J$11</f>
        <v>10.394725274725257</v>
      </c>
      <c r="Q111" s="44" t="str">
        <f t="shared" si="14"/>
        <v>DCM</v>
      </c>
      <c r="R111" s="44">
        <f t="shared" si="15"/>
        <v>61.17647058823529</v>
      </c>
      <c r="S111" s="44">
        <f>N111/worksheet!$F$52</f>
        <v>2.526495726495722</v>
      </c>
      <c r="T111" s="44">
        <f>0.5*worksheet!$F$62/100*worksheet!$F$29*S111*P111*R111/1000*worksheet!$J$11</f>
        <v>80.130695143287795</v>
      </c>
    </row>
    <row r="112" spans="1:20">
      <c r="A112" s="44">
        <v>3.28</v>
      </c>
      <c r="B112" s="44">
        <f>40+(worksheet!$F$17-40)*(worksheet!$F$11-3)/(worksheet!$F$14-3)</f>
        <v>59.411764705882348</v>
      </c>
      <c r="C112" s="44">
        <f t="shared" si="9"/>
        <v>0.49633333333333246</v>
      </c>
      <c r="D112" s="44">
        <f>1000*worksheet!$F$42*C112/worksheet!$F$52/worksheet!$F$9</f>
        <v>2.8170755777572372</v>
      </c>
      <c r="E112" s="44">
        <f>worksheet!$F$9*D112/worksheet!$F$29/worksheet!$F$11</f>
        <v>11.220094191522744</v>
      </c>
      <c r="F112" s="44" t="str">
        <f t="shared" si="11"/>
        <v>DCM</v>
      </c>
      <c r="G112" s="44">
        <f t="shared" si="12"/>
        <v>59.411764705882348</v>
      </c>
      <c r="H112" s="44">
        <f>C112/worksheet!$F$52</f>
        <v>2.5452991452991407</v>
      </c>
      <c r="I112" s="44">
        <f>0.5*worksheet!$F$62/100*worksheet!$F$29*H112*E112*G112/1000*worksheet!$F$11</f>
        <v>78.981880942104354</v>
      </c>
      <c r="J112" s="46">
        <f t="shared" si="13"/>
        <v>59.411764705882348</v>
      </c>
      <c r="L112" s="44">
        <v>3.28</v>
      </c>
      <c r="M112" s="44">
        <f>40+(worksheet!$F$17-40)*(worksheet!$J$11-3)/(worksheet!$F$14-3)</f>
        <v>61.17647058823529</v>
      </c>
      <c r="N112" s="44">
        <f t="shared" si="10"/>
        <v>0.49633333333333246</v>
      </c>
      <c r="O112" s="44">
        <f>1000*worksheet!$F$42*N112/worksheet!$F$52/worksheet!$F$9</f>
        <v>2.8170755777572372</v>
      </c>
      <c r="P112" s="44">
        <f>worksheet!$F$9*O112/worksheet!$F$29/worksheet!$J$11</f>
        <v>10.472087912087893</v>
      </c>
      <c r="Q112" s="44" t="str">
        <f t="shared" si="14"/>
        <v>DCM</v>
      </c>
      <c r="R112" s="44">
        <f t="shared" si="15"/>
        <v>61.17647058823529</v>
      </c>
      <c r="S112" s="44">
        <f>N112/worksheet!$F$52</f>
        <v>2.5452991452991407</v>
      </c>
      <c r="T112" s="44">
        <f>0.5*worksheet!$F$62/100*worksheet!$F$29*S112*P112*R112/1000*worksheet!$J$11</f>
        <v>81.327877405731201</v>
      </c>
    </row>
    <row r="113" spans="1:20">
      <c r="A113" s="44">
        <v>3.3</v>
      </c>
      <c r="B113" s="44">
        <f>40+(worksheet!$F$17-40)*(worksheet!$F$11-3)/(worksheet!$F$14-3)</f>
        <v>59.411764705882348</v>
      </c>
      <c r="C113" s="44">
        <v>0.5</v>
      </c>
      <c r="D113" s="44">
        <f>1000*worksheet!$F$42*C113/worksheet!$F$52/worksheet!$F$9</f>
        <v>2.8378867472369795</v>
      </c>
      <c r="E113" s="44">
        <f>worksheet!$F$9*D113/worksheet!$F$29/worksheet!$F$11</f>
        <v>11.302982731554158</v>
      </c>
      <c r="F113" s="44" t="str">
        <f t="shared" si="11"/>
        <v>DCM</v>
      </c>
      <c r="G113" s="44">
        <f t="shared" si="12"/>
        <v>59.411764705882348</v>
      </c>
      <c r="H113" s="44">
        <f>C113/worksheet!$F$52</f>
        <v>2.5641025641025639</v>
      </c>
      <c r="I113" s="44">
        <f>0.5*worksheet!$F$62/100*worksheet!$F$29*H113*E113*G113/1000*worksheet!$F$11</f>
        <v>80.153150017403391</v>
      </c>
      <c r="J113" s="46">
        <f t="shared" si="13"/>
        <v>59.411764705882348</v>
      </c>
      <c r="L113" s="44">
        <v>3.3</v>
      </c>
      <c r="M113" s="44">
        <f>40+(worksheet!$F$17-40)*(worksheet!$J$11-3)/(worksheet!$F$14-3)</f>
        <v>61.17647058823529</v>
      </c>
      <c r="N113" s="44">
        <v>0.5</v>
      </c>
      <c r="O113" s="44">
        <f>1000*worksheet!$F$42*N113/worksheet!$F$52/worksheet!$F$9</f>
        <v>2.8378867472369795</v>
      </c>
      <c r="P113" s="44">
        <f>worksheet!$F$9*O113/worksheet!$F$29/worksheet!$J$11</f>
        <v>10.549450549450547</v>
      </c>
      <c r="Q113" s="44" t="str">
        <f t="shared" si="14"/>
        <v>DCM</v>
      </c>
      <c r="R113" s="44">
        <f t="shared" si="15"/>
        <v>61.17647058823529</v>
      </c>
      <c r="S113" s="44">
        <f>N113/worksheet!$F$52</f>
        <v>2.5641025641025639</v>
      </c>
      <c r="T113" s="44">
        <f>0.5*worksheet!$F$62/100*worksheet!$F$29*S113*P113*R113/1000*worksheet!$J$11</f>
        <v>82.533936651583673</v>
      </c>
    </row>
  </sheetData>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0F20EA219BE9419D0020A186F34035" ma:contentTypeVersion="13" ma:contentTypeDescription="Create a new document." ma:contentTypeScope="" ma:versionID="2cfe326e06bfc00b8e26748b0ccd153c">
  <xsd:schema xmlns:xsd="http://www.w3.org/2001/XMLSchema" xmlns:xs="http://www.w3.org/2001/XMLSchema" xmlns:p="http://schemas.microsoft.com/office/2006/metadata/properties" xmlns:ns3="4a55e149-f29d-49ad-91f1-7d0616f90465" xmlns:ns4="53ae00cf-ef9a-4383-9ae3-29f3a054a9f0" targetNamespace="http://schemas.microsoft.com/office/2006/metadata/properties" ma:root="true" ma:fieldsID="f62e16cdd1292fcf61de7d27a2a5a979" ns3:_="" ns4:_="">
    <xsd:import namespace="4a55e149-f29d-49ad-91f1-7d0616f90465"/>
    <xsd:import namespace="53ae00cf-ef9a-4383-9ae3-29f3a054a9f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5e149-f29d-49ad-91f1-7d0616f904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ae00cf-ef9a-4383-9ae3-29f3a054a9f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67216F-9243-4FBA-B653-C6D26468A02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106BEB1-C58D-47D1-BAA7-F41E4C199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55e149-f29d-49ad-91f1-7d0616f90465"/>
    <ds:schemaRef ds:uri="53ae00cf-ef9a-4383-9ae3-29f3a054a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FF4AFE-EC98-453F-989E-6001200A3C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worksheet</vt:lpstr>
      <vt:lpstr>IC parameters</vt:lpstr>
      <vt:lpstr>user guide line</vt:lpstr>
      <vt:lpstr>LLCCM</vt:lpstr>
      <vt:lpstr>LLDCM</vt:lpstr>
      <vt:lpstr>HLDCM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Jie Cheng</dc:creator>
  <cp:keywords/>
  <dc:description/>
  <cp:lastModifiedBy>Joe Lin</cp:lastModifiedBy>
  <cp:revision/>
  <dcterms:created xsi:type="dcterms:W3CDTF">2021-09-23T07:11:56Z</dcterms:created>
  <dcterms:modified xsi:type="dcterms:W3CDTF">2026-01-22T02:13:30Z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0x0101000F0F20EA219BE9419D0020A186F34035</vt:lpwstr>
  </property>
  <property fmtid="{D5CDD505-2E9C-101B-9397-08002B2CF9AE}" pid="3" name="MSIP_Label_b86981fa-e7ab-4d22-9b61-1cf45cb585d5_Enabled">
    <vt:lpwstr>True</vt:lpwstr>
  </property>
  <property fmtid="{D5CDD505-2E9C-101B-9397-08002B2CF9AE}" pid="4" name="MSIP_Label_b86981fa-e7ab-4d22-9b61-1cf45cb585d5_SiteId">
    <vt:lpwstr>511e3c0e-ee96-486e-a2ec-e272ffa37b7c</vt:lpwstr>
  </property>
  <property fmtid="{D5CDD505-2E9C-101B-9397-08002B2CF9AE}" pid="5" name="MSIP_Label_b86981fa-e7ab-4d22-9b61-1cf45cb585d5_Ref">
    <vt:lpwstr>https://api.informationprotection.azure.com/api/511e3c0e-ee96-486e-a2ec-e272ffa37b7c</vt:lpwstr>
  </property>
  <property fmtid="{D5CDD505-2E9C-101B-9397-08002B2CF9AE}" pid="6" name="MSIP_Label_b86981fa-e7ab-4d22-9b61-1cf45cb585d5_Owner">
    <vt:lpwstr>jie.cheng@diasemi.com</vt:lpwstr>
  </property>
  <property fmtid="{D5CDD505-2E9C-101B-9397-08002B2CF9AE}" pid="7" name="MSIP_Label_b86981fa-e7ab-4d22-9b61-1cf45cb585d5_SetDate">
    <vt:lpwstr>2021-09-24T14:30:38.3779042+08:00</vt:lpwstr>
  </property>
  <property fmtid="{D5CDD505-2E9C-101B-9397-08002B2CF9AE}" pid="8" name="MSIP_Label_b86981fa-e7ab-4d22-9b61-1cf45cb585d5_Name">
    <vt:lpwstr>Internal</vt:lpwstr>
  </property>
  <property fmtid="{D5CDD505-2E9C-101B-9397-08002B2CF9AE}" pid="9" name="MSIP_Label_b86981fa-e7ab-4d22-9b61-1cf45cb585d5_Application">
    <vt:lpwstr>Microsoft Azure Information Protection</vt:lpwstr>
  </property>
  <property fmtid="{D5CDD505-2E9C-101B-9397-08002B2CF9AE}" pid="10" name="MSIP_Label_b86981fa-e7ab-4d22-9b61-1cf45cb585d5_Extended_MSFT_Method">
    <vt:lpwstr>Manual</vt:lpwstr>
  </property>
  <property fmtid="{D5CDD505-2E9C-101B-9397-08002B2CF9AE}" pid="11" name="MSIP_Label_9df02222-e7a1-4ead-9282-14e2ca49a9a7_Enabled">
    <vt:lpwstr>True</vt:lpwstr>
  </property>
  <property fmtid="{D5CDD505-2E9C-101B-9397-08002B2CF9AE}" pid="12" name="MSIP_Label_9df02222-e7a1-4ead-9282-14e2ca49a9a7_SiteId">
    <vt:lpwstr>511e3c0e-ee96-486e-a2ec-e272ffa37b7c</vt:lpwstr>
  </property>
  <property fmtid="{D5CDD505-2E9C-101B-9397-08002B2CF9AE}" pid="13" name="MSIP_Label_9df02222-e7a1-4ead-9282-14e2ca49a9a7_Ref">
    <vt:lpwstr>https://api.informationprotection.azure.com/api/511e3c0e-ee96-486e-a2ec-e272ffa37b7c</vt:lpwstr>
  </property>
  <property fmtid="{D5CDD505-2E9C-101B-9397-08002B2CF9AE}" pid="14" name="MSIP_Label_9df02222-e7a1-4ead-9282-14e2ca49a9a7_Owner">
    <vt:lpwstr>jie.cheng@diasemi.com</vt:lpwstr>
  </property>
  <property fmtid="{D5CDD505-2E9C-101B-9397-08002B2CF9AE}" pid="15" name="MSIP_Label_9df02222-e7a1-4ead-9282-14e2ca49a9a7_SetDate">
    <vt:lpwstr>2021-09-24T14:30:38.3779042+08:00</vt:lpwstr>
  </property>
  <property fmtid="{D5CDD505-2E9C-101B-9397-08002B2CF9AE}" pid="16" name="MSIP_Label_9df02222-e7a1-4ead-9282-14e2ca49a9a7_Name">
    <vt:lpwstr>Confidential</vt:lpwstr>
  </property>
  <property fmtid="{D5CDD505-2E9C-101B-9397-08002B2CF9AE}" pid="17" name="MSIP_Label_9df02222-e7a1-4ead-9282-14e2ca49a9a7_Application">
    <vt:lpwstr>Microsoft Azure Information Protection</vt:lpwstr>
  </property>
  <property fmtid="{D5CDD505-2E9C-101B-9397-08002B2CF9AE}" pid="18" name="MSIP_Label_9df02222-e7a1-4ead-9282-14e2ca49a9a7_Extended_MSFT_Method">
    <vt:lpwstr>Manual</vt:lpwstr>
  </property>
  <property fmtid="{D5CDD505-2E9C-101B-9397-08002B2CF9AE}" pid="19" name="MSIP_Label_9df02222-e7a1-4ead-9282-14e2ca49a9a7_Parent">
    <vt:lpwstr>b86981fa-e7ab-4d22-9b61-1cf45cb585d5</vt:lpwstr>
  </property>
  <property fmtid="{D5CDD505-2E9C-101B-9397-08002B2CF9AE}" pid="20" name="Sensitivity">
    <vt:lpwstr>Internal Confidential</vt:lpwstr>
  </property>
</Properties>
</file>